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codeName="ThisWorkbook"/>
  <mc:AlternateContent xmlns:mc="http://schemas.openxmlformats.org/markup-compatibility/2006">
    <mc:Choice Requires="x15">
      <x15ac:absPath xmlns:x15ac="http://schemas.microsoft.com/office/spreadsheetml/2010/11/ac" url="https://exotecsolution.sharepoint.com/sites/ExoSharedZoneInternalUse/Global Finance  Internal Shared Zone/CSRD/4 - Reporting 2025/3 - Data &amp; Audit trail/Templates complétés/"/>
    </mc:Choice>
  </mc:AlternateContent>
  <xr:revisionPtr revIDLastSave="0" documentId="10_ncr:10000_{1A0637FF-CD63-4B25-8BF9-B5F42CF49619}" xr6:coauthVersionLast="47" xr6:coauthVersionMax="47" xr10:uidLastSave="{00000000-0000-0000-0000-000000000000}"/>
  <workbookProtection workbookAlgorithmName="SHA-512" workbookHashValue="u2bUjNOgsYBxlKqBgPJqZB7ihVPqZs/CctyAH+eNb9gaL1+06LLr8YHzDWPq7m8TFCQ8uHWGDsN+Huqsyx2GAw==" workbookSaltValue="unQDzo4gmFWuOQIxwZbnmw==" workbookSpinCount="100000" lockStructure="1"/>
  <bookViews>
    <workbookView xWindow="-120" yWindow="-120" windowWidth="29040" windowHeight="15720" tabRatio="672" xr2:uid="{2424E359-BB1A-4C61-AEBD-805991FC6353}"/>
  </bookViews>
  <sheets>
    <sheet name="Introduction" sheetId="4" r:id="rId1"/>
    <sheet name="Table of Contents &amp; Validation" sheetId="16" r:id="rId2"/>
    <sheet name="General Information" sheetId="3" r:id="rId3"/>
    <sheet name="Environmental Disclosures" sheetId="1" r:id="rId4"/>
    <sheet name="Social Disclosures" sheetId="12" r:id="rId5"/>
    <sheet name="Governance Disclosures" sheetId="7" r:id="rId6"/>
    <sheet name="Licence" sheetId="14" r:id="rId7"/>
    <sheet name="Enumeration Lists" sheetId="6" state="hidden" r:id="rId8"/>
    <sheet name="Translations" sheetId="17" state="hidden" r:id="rId9"/>
    <sheet name="Technical Sheet" sheetId="11" state="hidden" r:id="rId10"/>
  </sheets>
  <definedNames>
    <definedName name="_xlnm._FilterDatabase" localSheetId="8" hidden="1">Translations!$A$1:$B$407</definedName>
    <definedName name="AddressOfSite">'General Information'!$D$109:$D$133</definedName>
    <definedName name="AmountOfEmissionsTable">'Environmental Disclosures'!$D$80:$K$119</definedName>
    <definedName name="AmountOfEmissionToAir">'Environmental Disclosures'!$G$80:$I$119</definedName>
    <definedName name="AmountOfEmissionToAir_unit">'Environmental Disclosures'!$C$78</definedName>
    <definedName name="AmountOfEmissionToSoil">'Environmental Disclosures'!$K$80:$K$119</definedName>
    <definedName name="AmountOfEmissionToSoil_unit">'Environmental Disclosures'!$C$78</definedName>
    <definedName name="AmountOfEmissionToWater">'Environmental Disclosures'!$J$80:$J$119</definedName>
    <definedName name="AmountOfEmissionToWater_unit">'Environmental Disclosures'!$C$78</definedName>
    <definedName name="AmountOfWaterWithdrawnAtSitesLocatedInAreasOfHighWaterStress">'Environmental Disclosures'!$D$170</definedName>
    <definedName name="AreaOfSiteInBiodiversitySensitiveArea">'Environmental Disclosures'!$G$128:$I$153</definedName>
    <definedName name="AreaOfSiteInBiodiversitySensitiveArea_unit">'Environmental Disclosures'!$C$126</definedName>
    <definedName name="Assets">'General Information'!$E$60</definedName>
    <definedName name="AverageNumberOfAnnualTrainingHoursPerFemaleEmployee">'Social Disclosures'!$D$59</definedName>
    <definedName name="AverageNumberOfAnnualTrainingHoursPerMaleEmployee">'Social Disclosures'!$D$58</definedName>
    <definedName name="AverageNumberOfAnnualTrainingHoursPerNonReportedGenderEmployee">'Social Disclosures'!$D$61</definedName>
    <definedName name="AverageNumberOfAnnualTrainingHoursPerOtherGenderEmployee">'Social Disclosures'!$D$60</definedName>
    <definedName name="BaselineYearMember">'Environmental Disclosures'!$G$21</definedName>
    <definedName name="BasisForPreparation">'General Information'!$E$32</definedName>
    <definedName name="BasisForReporting">'General Information'!$E$42</definedName>
    <definedName name="BreakdownOfAnnualMassFlowOfRelevantMaterialsUsedByTheUndertakingHypercube">'Environmental Disclosures'!$C$216:$I$230</definedName>
    <definedName name="BreakdownOfEnergyConsumptionAxis">'Environmental Disclosures'!$C$12:$F$14</definedName>
    <definedName name="BreakdownOfEnergyConsumptionTable">'Environmental Disclosures'!$G$12:$K$14</definedName>
    <definedName name="CityOfSite">'General Information'!$F$109:$F$133</definedName>
    <definedName name="CountryOfEmploymentContractAxis">'Social Disclosures'!$C$29:$D$32</definedName>
    <definedName name="CountryOfPrimaryOperationsAndLocationOfSignificantAssets">'General Information'!$E$65</definedName>
    <definedName name="CountryOfSite">'General Information'!$G$109:$G$133</definedName>
    <definedName name="DateOfAdoptionOfTransitionPlanForUndertakingNotHavingAdoptedTransitionPlanYet">'Environmental Disclosures'!$D$62</definedName>
    <definedName name="DescriptionOfActionsTakeToAddressTheConfirmedIncidents">'Social Disclosures'!$D$93</definedName>
    <definedName name="DescriptionOfATargetRelatedToAPolicy">'General Information'!$E$150</definedName>
    <definedName name="DescriptionOfATransitionPlanForClimateChangeMitigationIncludingAnExplanationOfHowItIsContributingToReduceGhgEmissions">'Environmental Disclosures'!$D$58</definedName>
    <definedName name="DescriptionOfClimateRelatedHazardsAndClimateRelatedTransitionEvents">'Environmental Disclosures'!$E$236</definedName>
    <definedName name="DescriptionOfHowCircularEconomyPrinciplesAreApplied">'Environmental Disclosures'!$D$183</definedName>
    <definedName name="DescriptionOfKeyElementsOfStrategyThatRelatesToOrAffectsSustainabilityIssues">'General Information'!$E$161</definedName>
    <definedName name="DescriptionOfLimitsToTheDistributionOfProfitsConnectedToTheMutualisticNatureOrToTheNatureOfTheActivitiesConsistingInServicesOfGeneralEconomicInterestSGEI">'General Information'!$D$146</definedName>
    <definedName name="DescriptionOfMainBusinessRelationships">'General Information'!$E$157</definedName>
    <definedName name="DescriptionOfPracticesPoliciesAndOrFutureInitiatives">'General Information'!$E$149</definedName>
    <definedName name="DescriptionOfSignificantGroupsOfProductsAndOrServicesOffered">'General Information'!$E$155</definedName>
    <definedName name="DescriptionOfSignificantMarketsTheUndertakingOperatesIn">'General Information'!$E$156</definedName>
    <definedName name="DescriptionOfSustainabilityRelatedCertificationsOrLabels">'General Information'!$E$100</definedName>
    <definedName name="DescriptionOfTheEffectiveParticipationOfWorkersUsersOrOtherInterestedPartiesOrCommunitiesInGovernance">'General Information'!$D$144</definedName>
    <definedName name="DisclosureOfAnyOtherEnvironmentalAndOrEntitySpecificEnvironmentalDisclosures">'Environmental Disclosures'!$C$244</definedName>
    <definedName name="DisclosureOfAnyOtherGeneralAndOrEntitySpecificInformation">'General Information'!$C$165</definedName>
    <definedName name="DisclosureOfAnyOtherGovernanceAndOrEntitySpecificGovernanceDisclosures">'Governance Disclosures'!$C$38</definedName>
    <definedName name="DisclosureOfAnyOtherSocialAndOrEntitySpecificSocialDisclosures">'Social Disclosures'!$C$101</definedName>
    <definedName name="DisclosureOfHowItHasAssessedTheExposureAndSensitivityOfItsAssetsActivitiesAndValueChainToTheseHazardsAndTransitionEvents">'Environmental Disclosures'!$E$237</definedName>
    <definedName name="DisclosureOfListOfMainActionsTheEntitySeeksInOrderToAchieveItsTargets">'Environmental Disclosures'!$C$52</definedName>
    <definedName name="DisclosureOfWhetherItHasUndertakenClimateChangeAdaptationActionsForAnyClimateRelatedHazardsAndTransitionEvents">'Environmental Disclosures'!$E$239</definedName>
    <definedName name="EmployeeCountingMethodology">'General Information'!$E$63</definedName>
    <definedName name="EmployeesReceivePayEqualOrAboveMinimumWageDeterminedByNationalLawOrCollectiveAgreement">'Social Disclosures'!$D$51</definedName>
    <definedName name="EmployeeTurnoverRate">'Social Disclosures'!$D$41</definedName>
    <definedName name="EnergyConsumptionFromElectricity_NonRenewableEnergyMember">'Environmental Disclosures'!$J$12</definedName>
    <definedName name="EnergyConsumptionFromElectricity_RenewableEnergyMember">'Environmental Disclosures'!$G$12</definedName>
    <definedName name="EnergyConsumptionFromElectricity_TotalRenewableAndNonRenewableEnergyMember">'Environmental Disclosures'!$K$12</definedName>
    <definedName name="EnergyConsumptionFromFuels_NonRenewableEnergyMember">'Environmental Disclosures'!$J$14</definedName>
    <definedName name="EnergyConsumptionFromFuels_RenewableEnergyMember">'Environmental Disclosures'!$G$14</definedName>
    <definedName name="EnergyConsumptionFromFuels_TotalRenewableAndNonRenewableEnergyMember">'Environmental Disclosures'!$K$14</definedName>
    <definedName name="EnergyConsumptionFromSelfGeneratedElectricity_NonRenewableEnergyMember">'Environmental Disclosures'!$J$13</definedName>
    <definedName name="EnergyConsumptionFromSelfGeneratedElectricity_RenewableEnergyMember">'Environmental Disclosures'!$G$13</definedName>
    <definedName name="EnergyConsumptionFromSelfGeneratedElectricity_TotalRenewableAndNonRenewableEnergyMember">'Environmental Disclosures'!$K$13</definedName>
    <definedName name="enum_B2">'Enumeration Lists'!$R$2:$R$4</definedName>
    <definedName name="enum_employee_methodology">'Enumeration Lists'!$AB$2:$AB$3</definedName>
    <definedName name="enum_ImplementationStatus">'Enumeration Lists'!$U$2:$U$3</definedName>
    <definedName name="enum_ListBiodiversityArea">'Enumeration Lists'!$J$2:$J$3</definedName>
    <definedName name="enum_ListCountiesCode">'Enumeration Lists'!$G$2:$G$257</definedName>
    <definedName name="enum_ListCountriesName">'Enumeration Lists'!$E$2:$E$257</definedName>
    <definedName name="enum_ListDays">'Enumeration Lists'!$AC$2:$AC$32</definedName>
    <definedName name="enum_ListDensity">#REF!</definedName>
    <definedName name="enum_ListEnergy">#REF!</definedName>
    <definedName name="enum_ListFuel">#REF!</definedName>
    <definedName name="enum_ListHectM2">'Enumeration Lists'!$P$2:$P$3</definedName>
    <definedName name="enum_ListIdentifier">'Enumeration Lists'!$AD$2:$AD$5</definedName>
    <definedName name="enum_ListLegalForms">'Enumeration Lists'!$L$2:$L$6</definedName>
    <definedName name="enum_ListMass">#REF!</definedName>
    <definedName name="enum_ListMediumOfRelease">'Enumeration Lists'!$N$2:$N$4</definedName>
    <definedName name="enum_ListMonth">'Enumeration Lists'!$T$2:$T$13</definedName>
    <definedName name="enum_ListNACECategories">'Enumeration Lists'!$C$2:$C$399</definedName>
    <definedName name="enum_ListNACECode">'Enumeration Lists'!$A$3:$A$1049</definedName>
    <definedName name="enum_ListNACETechnicalName">'Enumeration Lists'!$D$3:$D$1049</definedName>
    <definedName name="enum_ListNCV">#REF!</definedName>
    <definedName name="enum_ListOfCurrencies">'Enumeration Lists'!$AA$2:$AA$170</definedName>
    <definedName name="enum_ListOfFutureYears">'Enumeration Lists'!$S$26:$S$102</definedName>
    <definedName name="enum_ListOfPastYears">'Enumeration Lists'!$S$2:$S$26</definedName>
    <definedName name="enum_ListOmittedDisclosures">'Enumeration Lists'!$V$2:$V$21</definedName>
    <definedName name="enum_ListOmittedDisclosuresWithNone">'Enumeration Lists'!$H$2:$H$22</definedName>
    <definedName name="enum_ListPollutants">'Enumeration Lists'!$I$2:$I$95</definedName>
    <definedName name="enum_ListRenewabilityState">#REF!</definedName>
    <definedName name="enum_ListStateOfMatter">#REF!</definedName>
    <definedName name="enum_ListSustainabilityIssues">'Enumeration Lists'!$O$2:$O$12</definedName>
    <definedName name="enum_ListTypeOfWastes">'Enumeration Lists'!$K$2:$K$974</definedName>
    <definedName name="enum_ListUnitMeasurement">'Enumeration Lists'!$M$2:$M$4</definedName>
    <definedName name="enum_ListUnitMeasurement_mass_only">'Enumeration Lists'!$Y$2:$Y$3</definedName>
    <definedName name="enum_ListVolume">#REF!</definedName>
    <definedName name="enum_ListVolumeMass">#REF!</definedName>
    <definedName name="enum_ListWasteCategories">'Enumeration Lists'!$Z$2:$Z$133</definedName>
    <definedName name="enum_ListYear">'Enumeration Lists'!$S$2:$S$102</definedName>
    <definedName name="enum_ListYesNo">'Enumeration Lists'!$Q$2:$Q$3</definedName>
    <definedName name="FemaleToMaleRatioAtManagementLevelForTheReportingPeriod">'Social Disclosures'!$D$68</definedName>
    <definedName name="FinancialInvestmentInTheCapitalOrAssetsOfSocialEconomyEntities">'General Information'!$D$145</definedName>
    <definedName name="GenderDiversityRatioInGovernanceBody">'Governance Disclosures'!$H$33</definedName>
    <definedName name="GPSLocationOfSite">'General Information'!$H$109:$H$133</definedName>
    <definedName name="GreenhouseGasEmissionReductionTargetBaseYear">'Environmental Disclosures'!$G$21</definedName>
    <definedName name="GreenhouseGasEmissionReductionTargetYear">'Environmental Disclosures'!$J$21</definedName>
    <definedName name="GrossLocationBasedScope2GreenhouseGasEmissions">'Environmental Disclosures'!$D$23</definedName>
    <definedName name="GrossLocationBasedScope2GreenhouseGasEmissions_BaselineYearMember">'Environmental Disclosures'!$G$23</definedName>
    <definedName name="GrossLocationBasedScope2GreenhouseGasEmissions_TargetYearMember">'Environmental Disclosures'!$J$23</definedName>
    <definedName name="GrossMarketBasedScope2GreenhouseGasEmissions">'Environmental Disclosures'!$D$24</definedName>
    <definedName name="GrossMarketBasedScope2GreenhouseGasEmissions_BaselineYearMember">'Environmental Disclosures'!$G$24</definedName>
    <definedName name="GrossMarketBasedScope2GreenhouseGasEmissions_TargetYearMember">'Environmental Disclosures'!$J$24</definedName>
    <definedName name="GrossScope1GreenhouseGasEmissions">'Environmental Disclosures'!$D$22</definedName>
    <definedName name="GrossScope1GreenhouseGasEmissions_BaselineYearMember">'Environmental Disclosures'!$G$22</definedName>
    <definedName name="GrossScope1GreenhouseGasEmissions_TargetYearMember">'Environmental Disclosures'!$J$22</definedName>
    <definedName name="GrossScope3GreenhouseGasEmissions_BaselineYearMember">'Environmental Disclosures'!$G$45</definedName>
    <definedName name="GrossScope3GreenhouseGasEmissions_CurrentlyStatedMember">'Environmental Disclosures'!$D$45</definedName>
    <definedName name="GrossScope3GreenhouseGasEmissions_TargetYearMember">'Environmental Disclosures'!$J$45</definedName>
    <definedName name="IdentifierOfMaterialTypedAxis">'Environmental Disclosures'!$C$216:$C$230</definedName>
    <definedName name="IdentifierOfSitesInBiodiversitySensitiveAreasTypedAxis">'Environmental Disclosures'!$C$128:$C$153</definedName>
    <definedName name="IdentifierOfSiteTypedAxis">'General Information'!$C$109:$C$133</definedName>
    <definedName name="IdentifierOfSubsidiaryTypedAxis">'General Information'!$C$70:$C$94</definedName>
    <definedName name="LinkToPreviousReportContainingDisclosuresThatRemainUnchanged">'General Information'!$E$29</definedName>
    <definedName name="ListOfDisclosuresForWhichNoChangesAreReportedComparedToThePreviousPeriodReporting">'General Information'!$E$19:$E$28</definedName>
    <definedName name="ListOfOmittedDisclosuresDeemedToBeClassifiedOrSensitiveInformation">'General Information'!$E$33:$E$41</definedName>
    <definedName name="ListOfSitesTable">'General Information'!$C$109:$H$133</definedName>
    <definedName name="ListOfSubsidiaryTable">'General Information'!$C$70:$E$94</definedName>
    <definedName name="MostSeniorLevelAccountableForImplementationOfPolicies">'General Information'!$E$151</definedName>
    <definedName name="NaceSectorClassificationCodes">'General Information'!$E$45:$E$59</definedName>
    <definedName name="NameOfMaterialUsed">'Environmental Disclosures'!$D$216:$F$230</definedName>
    <definedName name="NameOfTheSubsidiary">'General Information'!$D$70:$D$94</definedName>
    <definedName name="NumberOfEmployees">'General Information'!$E$62</definedName>
    <definedName name="NumberOfEmployeesForCountryOfEmploymentContract">'Social Disclosures'!$E$29:$H$32</definedName>
    <definedName name="NumberOfEmployeesForCountryOfEmploymentContractTable">'Social Disclosures'!$C$29:$H$32</definedName>
    <definedName name="NumberOfFatalitiesAsAResultOfWorkRelatedInjuriesAndWorkRelatedIllHealth">'Social Disclosures'!$D$48</definedName>
    <definedName name="NumberOfFemaleEmployees">'Social Disclosures'!$D$19</definedName>
    <definedName name="NumberOfMaleEmployees">'Social Disclosures'!$D$18</definedName>
    <definedName name="NumberOfNonReportedGenderEmployees">'Social Disclosures'!$D$21</definedName>
    <definedName name="NumberOfOtherGenderEmployees">'Social Disclosures'!$D$20</definedName>
    <definedName name="NumberOfPermanentContractEmployees">'Social Disclosures'!$D$10</definedName>
    <definedName name="NumberOfRecordableWorkRelatedAccidentsInTheReportingPeriod">'Social Disclosures'!$D$44</definedName>
    <definedName name="NumberOfTemporaryContractEmployees">'Social Disclosures'!$D$11</definedName>
    <definedName name="OtherUndertakingsLegalForm">'General Information'!$E$44</definedName>
    <definedName name="PercentageGapInPayBetweenFemaleAndMaleEmployees">'Social Disclosures'!#REF!</definedName>
    <definedName name="PercentageOfEmployeesCoveredByCollectiveBargainingAgreements">'Social Disclosures'!$D$53</definedName>
    <definedName name="PostalCodeOfSite">'General Information'!$E$109:$E$133</definedName>
    <definedName name="PotentialAdverseEffectsOfClimateRisksThatMayAffectItsFinancialPerformanceOrBusinessOperationsInTheShortMediumOrLongTermIndicatingWhetherItAssessesTheRisksToBeHighMediumOrLow">'Environmental Disclosures'!$E$240</definedName>
    <definedName name="PracticePolicyAndOrFutureInitiativeIsPubliclyAvailable">'General Information'!$N$140</definedName>
    <definedName name="PubliclyAvailableDisclosure">'Environmental Disclosures'!$G$75</definedName>
    <definedName name="RateOfRecordableWorkRelatedAccidentsInTheReportingPeriod">'Social Disclosures'!$D$47</definedName>
    <definedName name="RegisteredAddressOfTheSubsidiary">'General Information'!$E$70:$E$94</definedName>
    <definedName name="ReportContainsDisclosuresFromThePreviousReportingPeriodThatRemainUnchanged">'General Information'!$E$18</definedName>
    <definedName name="RevenueDerivedFromChemicalProduction">'Governance Disclosures'!$H$18</definedName>
    <definedName name="RevenueDerivedFromCoal">'Governance Disclosures'!$H$14</definedName>
    <definedName name="RevenueDerivedFromControversialWeaponsAntiPersonnelMinesClusterMunitionsChemicalWeaponsAndBiologicalWeapons">'Governance Disclosures'!$H$12</definedName>
    <definedName name="RevenueDerivedFromCultivationAndProductionOfTobacco">'Governance Disclosures'!$H$13</definedName>
    <definedName name="RevenueDerivedFromGas">'Governance Disclosures'!$H$16</definedName>
    <definedName name="RevenueDerivedFromOil">'Governance Disclosures'!$H$15</definedName>
    <definedName name="Scope1AndScope2GreenhouseGasEmissionsIntensityValueLocationBased">'Environmental Disclosures'!$G$66</definedName>
    <definedName name="Scope1AndScope2GreenhouseGasEmissionsIntensityValueMarketBased">'Environmental Disclosures'!$G$67</definedName>
    <definedName name="SiteLocatedInABiodiversitySensitiveArea">'Environmental Disclosures'!$J$128:$J$153</definedName>
    <definedName name="SiteLocatedNearABiodiversitySensitiveArea">'Environmental Disclosures'!$K$128:$K$153</definedName>
    <definedName name="SitesInBiodiversitySensitiveAreasTable">'Environmental Disclosures'!$C$128:$K$153</definedName>
    <definedName name="SpecificationOfAnyConfirmedIncidentInvolvingWorkersInTheValueChainAffectedCommunitiesConsumersAndEndUsers">'Social Disclosures'!$D$95</definedName>
    <definedName name="SpecificationOfOtherHumanRightsRelatedToTheConfirmedIncident">'Social Disclosures'!$D$92</definedName>
    <definedName name="SpecificationOfOtherTypesOfContentCoveredByTheCodeOfConductOrHumanRightsPolicy">'Social Disclosures'!$D$81</definedName>
    <definedName name="SustainabilityIssueAddressedByPracticePolicyAndOrFutureInitiative">'General Information'!$D$140:$M$140</definedName>
    <definedName name="TargetYearMember">'Environmental Disclosures'!$J$21</definedName>
    <definedName name="template_b1_basis_for_preparation_and_other_undertakings_general_information">'General Information'!$C$31</definedName>
    <definedName name="template_b1_disclosure_of_sustainability_related_certifications_or_labels">'General Information'!$C$96</definedName>
    <definedName name="template_b1_list_of_sites">'General Information'!$C$102</definedName>
    <definedName name="template_b1_list_of_subsidiaries">'General Information'!$C$67</definedName>
    <definedName name="template_b10_workforce_remuneration_collective_bargaining_and_training">'Social Disclosures'!$C$50</definedName>
    <definedName name="template_b11_convictions_and_fines_for_corruption_and_bribery">'Governance Disclosures'!$C$2</definedName>
    <definedName name="template_b2_cooperative_specific_disclosures">'General Information'!$C$142</definedName>
    <definedName name="template_b2_practices_policies_and_future_initiatives_for_transitioning_towards_a_more_sustainable_economy">'General Information'!$C$135</definedName>
    <definedName name="template_b3_breakdown_of_energy_consumption_in_MWh">'Environmental Disclosures'!$C$7</definedName>
    <definedName name="template_b3_estimated_greenhouse_gas_emissions_considering_the_GHG_protocol_version_2004_in_tCO2e">'Environmental Disclosures'!$C$16</definedName>
    <definedName name="template_b3_greenhouse_gas_emission_intensity_per_turnover">'Environmental Disclosures'!$C$64</definedName>
    <definedName name="template_b3_total_energy_consumption_in_MWh">'Environmental Disclosures'!$C$2</definedName>
    <definedName name="template_b4_pollution_of_air_water_and_soil">'Environmental Disclosures'!$C$71</definedName>
    <definedName name="template_b5_biodiversity_land_use">'Environmental Disclosures'!$C$155</definedName>
    <definedName name="template_b5_sites_in_biodiversity_sensitive_areas">'Environmental Disclosures'!$C$121</definedName>
    <definedName name="template_b6_water_consumption">'Environmental Disclosures'!$C$172</definedName>
    <definedName name="template_b6_water_withdrawal">'Environmental Disclosures'!$C$166</definedName>
    <definedName name="template_b7_annual_mass_flow_of_relevant_materials_used">'Environmental Disclosures'!$C$211</definedName>
    <definedName name="template_b7_description_of_circular_economy_principles">'Environmental Disclosures'!$C$179</definedName>
    <definedName name="template_b7_waste_generated">'Environmental Disclosures'!$C$185</definedName>
    <definedName name="template_b8_workforce_general_characteristics_country_of_employment">'Social Disclosures'!$C$24</definedName>
    <definedName name="template_b8_workforce_general_characteristics_gender">'Social Disclosures'!$C$14</definedName>
    <definedName name="template_b8_workforce_general_characteristics_turnover_rate">'Social Disclosures'!$C$35</definedName>
    <definedName name="template_b8_workforce_general_characteristics_type_of_contract">'Social Disclosures'!$C$6</definedName>
    <definedName name="template_b9_workforce_health_and_safety">'Social Disclosures'!$C$43</definedName>
    <definedName name="template_c1_strategy_business_model_and_sustainability">'General Information'!$C$154</definedName>
    <definedName name="template_c2_description_of_practices_policies_and_future_initiatives_for_transitioning_towards_a_more_sustainable_economy">'General Information'!$C$148</definedName>
    <definedName name="template_c3_disclosure_of_list_of_main_actions_the_entity_seeks_in_order_to_achieve_its_targets">'Environmental Disclosures'!$C$49</definedName>
    <definedName name="template_c3_GHG_reduction_targets_in_tC02e">'Environmental Disclosures'!$G$16</definedName>
    <definedName name="template_c3_transition_plan_for_undertakings_operating_in_high_climate_impact_sectors">'Environmental Disclosures'!$C$55</definedName>
    <definedName name="template_c4_climate_risks">'Environmental Disclosures'!$C$234</definedName>
    <definedName name="template_c5_additional_general_workforce_characteristics">'Social Disclosures'!$C$65</definedName>
    <definedName name="template_c6_additional_own_workforce_information_human_rights_policies_and_processes">'Social Disclosures'!$C$72</definedName>
    <definedName name="template_c7_severe_negative_human_rights_incidents">'Social Disclosures'!$C$84</definedName>
    <definedName name="template_c8_exclusion_from_EU_reference_benchmarks">'Governance Disclosures'!$C$20</definedName>
    <definedName name="template_c8_revenues_from_certain_sectors">'Governance Disclosures'!$C$9</definedName>
    <definedName name="template_c9_gender_diversity_ratio_in_the_governance_body">'Governance Disclosures'!$C$29</definedName>
    <definedName name="template_currency">'General Information'!$D$5</definedName>
    <definedName name="template_disclosure_of_any_other_environmental_and_or_entity_specific_enviromental_disclosures">'Environmental Disclosures'!$C$242</definedName>
    <definedName name="template_disclosure_of_any_other_general_and_or_entity_specific_information_on_the_reporting_period">'General Information'!$C$163</definedName>
    <definedName name="template_disclosure_of_any_other_governance_and_or_entity_specific_governance_disclosures">'Governance Disclosures'!$C$36</definedName>
    <definedName name="template_disclosure_of_any_other_social_and_or_entity_specific_social_disclosures">'Social Disclosures'!$C$99</definedName>
    <definedName name="template_ending_date_display">'Technical Sheet'!$B$3</definedName>
    <definedName name="template_FUEL_CONVERTER">#REF!</definedName>
    <definedName name="template_further_notes">#REF!</definedName>
    <definedName name="template_information_on_previous_reporting_period">'General Information'!$C$16</definedName>
    <definedName name="template_information_on_the_report_necessary_for_XBRL">'General Information'!$C$2</definedName>
    <definedName name="template_label_0_provide_information_that_is_mandatory_in_order_to_generate_the_vsme_and_xbrl_report">Translations!$B$26</definedName>
    <definedName name="template_label_1_fill_in_the_disclosures_on_the_four_worksheets">Translations!$B$27</definedName>
    <definedName name="template_label_1_in_cell_a9_select_the_fuel_used_searching_for_it_or_scrolling_down_the_list_displayed_clicking_the_cell">Translations!$B$420</definedName>
    <definedName name="template_label_1_in_the_cell_b5_of_the_table_related_to_the_unit_of_measurement_of_mass_converter">Translations!$B$453</definedName>
    <definedName name="template_label_1_percent_or_more_of_their_revenues_from_exploration_mining_extraction_distribution_or_refining_of_hard_coal_and_lignite">Translations!$B$396</definedName>
    <definedName name="template_label_1_purchased_goods_and_services">Translations!$B$223</definedName>
    <definedName name="template_label_10_further_notes_can_be_found_below">Translations!$B$429</definedName>
    <definedName name="template_label_10_percent_or_more_of_their_revenues_from_the_exploration_extraction_distribution_or_refining_of_oil_fuels">Translations!$B$397</definedName>
    <definedName name="template_label_10_processing_of_sold_products">Translations!$B$232</definedName>
    <definedName name="template_label_11_use_of_sold_products">Translations!$B$233</definedName>
    <definedName name="template_label_12_end_of_life_treatment_of_sold_products">Translations!$B$234</definedName>
    <definedName name="template_label_13_downstream_leased_assets">Translations!$B$235</definedName>
    <definedName name="template_label_14_franchises">Translations!$B$236</definedName>
    <definedName name="template_label_15_investments">Translations!$B$237</definedName>
    <definedName name="template_label_2_capital_goods">Translations!$B$224</definedName>
    <definedName name="template_label_2_find_more_information_on_the_actual_disclosure_requirements_in_the_vsme_standard">Translations!$B$28</definedName>
    <definedName name="template_label_2_in_cell_b9_select_the_unit_of_measurement_used">Translations!$B$421</definedName>
    <definedName name="template_label_2_then_in_the_cell_b6_the_amount_of_mass_can_be_inserted">Translations!$B$454</definedName>
    <definedName name="template_label_3_finally_in_the_cell_d5_there_should_be_the_unit_of_measurement_of_interest">Translations!$B$455</definedName>
    <definedName name="template_label_3_for_open_tables_like_the_list_of_subsidizers_sites_please_expand_the_groups_by_clicking_the_plus">Translations!$B$29</definedName>
    <definedName name="template_label_3_fuel__and_energy_related_activities">Translations!$B$225</definedName>
    <definedName name="template_label_3_in_cell_c9_select_the_amount_of_fuel_used">Translations!$B$422</definedName>
    <definedName name="template_label_4_in_cell_d9_it_is_displayed_the_state_of_matter_for_the_fuel_selected">Translations!$B$423</definedName>
    <definedName name="template_label_4_the_outcome_of_the_conversion_will_be_displayed_in_the_cell_d6">Translations!$B$456</definedName>
    <definedName name="template_label_4_upstream_transportation_and_distribution">Translations!$B$226</definedName>
    <definedName name="template_label_4_validate_the_data_entered_by_checking_the_validation_status">Translations!$B$30</definedName>
    <definedName name="template_label_5_convert_this_template_to_an_inline_xbrl_report">Translations!$B$31</definedName>
    <definedName name="template_label_5_in_cell_e9_it_is_displayed_the_typical_renewability_state_for_the_fuel_selected">Translations!$B$424</definedName>
    <definedName name="template_label_5_waste_generated_in_operations">Translations!$B$227</definedName>
    <definedName name="template_label_50_percent_or_more_of_their_revenues_from_electricity_generation">Translations!$B$399</definedName>
    <definedName name="template_label_50_percent_or_more_of_their_revenues_from_the_exploration_extraction_manufacturing_or_distribution_of_gaseous_fuels">Translations!$B$398</definedName>
    <definedName name="template_label_6_business_travel">Translations!$B$228</definedName>
    <definedName name="template_label_6_in_cell_f9_is_displayed_the_energy_produced_in_mega_watt_hours_by_the_amount_of_fuel_specified">Translations!$B$425</definedName>
    <definedName name="template_label_6_the_undertaking_may_also_upload_the_report_to_public_repositories_or_a_webpage">Translations!$B$32</definedName>
    <definedName name="template_label_7_employee_commuting">Translations!$B$229</definedName>
    <definedName name="template_label_7_in_cell_a28_is_displayed_the_total_energy_in_mega_watt_hours">Translations!$B$426</definedName>
    <definedName name="template_label_8_in_cell_a31_is_displayed_the_total_renewable_energy_in_mega_watt_hours">Translations!$B$427</definedName>
    <definedName name="template_label_8_upstream_leased_assets">Translations!$B$230</definedName>
    <definedName name="template_label_9_downstream_transportation_and_distribution">Translations!$B$231</definedName>
    <definedName name="template_label_9_in_cell_b31_is_displayed_the_total_nonrenewable_energy_in_mega_watt_hours">Translations!$B$428</definedName>
    <definedName name="template_label_accident_prevention">Translations!$B$368</definedName>
    <definedName name="template_label_additional_disclosures_validation">Translations!$B$109</definedName>
    <definedName name="template_label_additional_rows_warning">Translations!$B$480</definedName>
    <definedName name="template_label_additionally_users_are_encouraged_to_determine_the_renewability_status_of_each_fuel_based_on_guarantees_of_origin">Translations!$B$412</definedName>
    <definedName name="template_label_address">Translations!$B$163</definedName>
    <definedName name="template_label_affected_communities">Translations!$B$181</definedName>
    <definedName name="template_label_always_to_be_reported">Translations!$B$119</definedName>
    <definedName name="template_label_always_to_be_reported_if_applicable">Translations!$B$123</definedName>
    <definedName name="template_label_amount">Translations!$B$415</definedName>
    <definedName name="template_label_amount_in">Translations!$B$125</definedName>
    <definedName name="template_label_amount_of_water_withdrawn_at_sites_located_in_areas_of_high_water_stress">Translations!$B$282</definedName>
    <definedName name="template_label_annual_mass_flow_of_relevant_materials_used_validation">Translations!$B$83</definedName>
    <definedName name="template_label_area">Translations!$B$275</definedName>
    <definedName name="template_label_area_hectares_or_m2">Translations!$B$270</definedName>
    <definedName name="template_label_at">Translations!$B$118</definedName>
    <definedName name="template_label_automatic_geolocation">Translations!$B$168</definedName>
    <definedName name="template_label_average_gross_hourly_pay_level_of_female_employees">Translations!$B$349</definedName>
    <definedName name="template_label_average_gross_hourly_pay_level_of_male_employees">Translations!$B$348</definedName>
    <definedName name="template_label_average_number_of_annual_training_hours_per_employee">Translations!$B$354</definedName>
    <definedName name="template_label_b1_basis_for_preparation_and_other_undertakings_general_information">Translations!$B$142</definedName>
    <definedName name="template_label_b1_basis_for_preparation_validation">Translations!$B$59</definedName>
    <definedName name="template_label_b1_disclosure_of_sustainability_related_certification_or_label">Translations!$B$159</definedName>
    <definedName name="template_label_b1_list_of_site">Translations!$B$162</definedName>
    <definedName name="template_label_b1_list_of_subsidiaries">Translations!$B$155</definedName>
    <definedName name="template_label_b10_workforce_remuneration_collective_bargaining_and_training">Translations!$B$346</definedName>
    <definedName name="template_label_b10_workforce_remuneration_collective_bargaining_and_training_validation">Translations!$B$91</definedName>
    <definedName name="template_label_b11_convictions_and_fines_for_corruption_and_bribery">Translations!$B$380</definedName>
    <definedName name="template_label_b11_convictions_and_fines_for_corruption_and_bribery_validation">Translations!$B$93</definedName>
    <definedName name="template_label_b2_cooperative_specific_disclosures">Translations!$B$184</definedName>
    <definedName name="template_label_b2_practices_policies_and_future_initiatives_for_transitioning_towards_a_more_sustainable_economy">Translations!$B$169</definedName>
    <definedName name="template_label_b2_practices_policies_and_future_initiatives_for_transitioning_towards_a_more_sustainable_economy_validation">Translations!$B$64</definedName>
    <definedName name="template_label_b3_breakdown_of_energy_consumption">Translations!$B$201</definedName>
    <definedName name="template_label_b3_energy_and_greenhouse_gas_emissions_validation">Translations!$B$68</definedName>
    <definedName name="template_label_b3_estimated_greenhouse_gas_emissions">Translations!$B$209</definedName>
    <definedName name="template_label_b3_greenhouse_gas_emission_intensity_per_turnover">Translations!$B$250</definedName>
    <definedName name="template_label_b3_total_energy_consumption">Translations!$B$199</definedName>
    <definedName name="template_label_b4_pollution_of_air_water_and_soil">Translations!$B$255</definedName>
    <definedName name="template_label_b4_pollution_of_air_water_and_soil_validation">Translations!$B$73</definedName>
    <definedName name="template_label_b5_biodiversity_land_use">Translations!$B$273</definedName>
    <definedName name="template_label_b5_biodiversity_validation">Translations!$B$74</definedName>
    <definedName name="template_label_b5_sites_in_biodiversity_sensitive_areas">Translations!$B$265</definedName>
    <definedName name="template_label_b6_water_consumption">Translations!$B$283</definedName>
    <definedName name="template_label_b6_water_validation">Translations!$B$77</definedName>
    <definedName name="template_label_b6_water_withdrawal">Translations!$B$280</definedName>
    <definedName name="template_label_b7_annual_mass_flow_of_relevant_materials_used">Translations!$B$304</definedName>
    <definedName name="template_label_b7_description_of_circular_economy_principles">Translations!$B$287</definedName>
    <definedName name="template_label_b7_resource_use_circular_economy_and_waste_management_validation">Translations!$B$80</definedName>
    <definedName name="template_label_b7_waste_generated">Translations!$B$290</definedName>
    <definedName name="template_label_b8_workforce_general_characteristics_country_of_employment">Translations!$B$332</definedName>
    <definedName name="template_label_b8_workforce_general_characteristics_gender">Translations!$B$326</definedName>
    <definedName name="template_label_b8_workforce_general_characteristics_turnover_rate">Translations!$B$335</definedName>
    <definedName name="template_label_b8_workforce_general_characteristics_type_of_contract">Translations!$B$321</definedName>
    <definedName name="template_label_b8_workforce_general_characteristics_validation">Translations!$B$85</definedName>
    <definedName name="template_label_b9_workforce_health_and_safety">Translations!$B$340</definedName>
    <definedName name="template_label_b9_workforce_health_and_safety_validation">Translations!$B$90</definedName>
    <definedName name="template_label_base_year">Translations!$B$213</definedName>
    <definedName name="template_label_basic_module">Translations!$B$36</definedName>
    <definedName name="template_label_basic_module_validation">Translations!$B$58</definedName>
    <definedName name="template_label_basis_for_preparation">Translations!$B$143</definedName>
    <definedName name="template_label_basis_for_preparation_and_other_undertakings_general_information_validation">Translations!$B$60</definedName>
    <definedName name="template_label_basis_for_reporting">Translations!$B$145</definedName>
    <definedName name="template_label_below_are_specified_all_the_units_of_measurement_conversions_of_each_table">Translations!$B$458</definedName>
    <definedName name="template_label_biodiversity_and_ecosystems">Translations!$B$177</definedName>
    <definedName name="template_label_biodiversity_land_use_validation">Translations!$B$76</definedName>
    <definedName name="template_label_breakdown_of_energy_consumption_in_mwh_validation">Translations!$B$70</definedName>
    <definedName name="template_label_business_conduct">Translations!$B$183</definedName>
    <definedName name="template_label_c1_strategy_business_model_and_sustainability_related_initiatives">Translations!$B$192</definedName>
    <definedName name="template_label_c1_strategy_business_model_and_sustainability_related_initiatives_validation">Translations!$B$95</definedName>
    <definedName name="template_label_c2_description_of_practices_policies_and_future_initiatives_for_transitioning_towards_a_more_sustainable_economy">Translations!$B$188</definedName>
    <definedName name="template_label_c2_description_of_practices_policies_and_future_initiatives_for_transitioning_towards_a_more_sustainable_economy_validation">Translations!$B$96</definedName>
    <definedName name="template_label_c3_disclosure_of_list_of_main_actions_the_entity_seeks_in_order_to_achieve_its_targets">Translations!$B$241</definedName>
    <definedName name="template_label_c3_ghg_reduction_targets">Translations!$B$210</definedName>
    <definedName name="template_label_c3_ghg_reduction_targets_and_climate_transition_validation">Translations!$B$97</definedName>
    <definedName name="template_label_c3_transition_plan_for_undertakings_operating_in_high_climate_impact_sectors">Translations!$B$242</definedName>
    <definedName name="template_label_c4_climate_risks">Translations!$B$311</definedName>
    <definedName name="template_label_c4_climate_risks_validation">Translations!$B$101</definedName>
    <definedName name="template_label_c5_additional_general_workforce_characteristics_validation">Translations!$B$102</definedName>
    <definedName name="template_label_c5_additional_workforce_characteristics">Translations!$B$355</definedName>
    <definedName name="template_label_c6_additional_own_workforce_information_human_rights_policies_and_processes">Translations!$B$361</definedName>
    <definedName name="template_label_c6_additional_own_workforce_information_human_rights_policies_and_processes_validation">Translations!$B$103</definedName>
    <definedName name="template_label_c7_severe_negative_human_rights_incidents">Translations!$B$372</definedName>
    <definedName name="template_label_c7_severe_negative_human_rights_incidents_validation">Translations!$B$104</definedName>
    <definedName name="template_label_c8_exclusion_from_eu_reference_benchmarks">Translations!$B$394</definedName>
    <definedName name="template_label_c8_revenues_from_certain_sectors">Translations!$B$384</definedName>
    <definedName name="template_label_c8_revenues_from_certain_sectors_and_exclusion_from_eu_reference_benchmarks_validation">Translations!$B$105</definedName>
    <definedName name="template_label_c9_gender_diversity_ratio_in_the_governance_body">Translations!$B$402</definedName>
    <definedName name="template_label_c9_gender_diversity_ratio_in_the_governance_body_validation">Translations!$B$108</definedName>
    <definedName name="template_label_calculated_energy_in_mwh">Translations!$B$418</definedName>
    <definedName name="template_label_cell_background_color_index">Translations!$B$33</definedName>
    <definedName name="template_label_child_labour">Translations!$B$364</definedName>
    <definedName name="template_label_circular_economy">Translations!$B$178</definedName>
    <definedName name="template_label_city">Translations!$B$165</definedName>
    <definedName name="template_label_climate_change">Translations!$B$174</definedName>
    <definedName name="template_label_complete">Translations!$B$465</definedName>
    <definedName name="template_label_comprehensive_module">Translations!$B$38</definedName>
    <definedName name="template_label_comprehensive_module_validation">Translations!$B$94</definedName>
    <definedName name="template_label_consumers_and_endusers_validation">Translations!$B$182</definedName>
    <definedName name="template_label_contents_grouping_follows_templates_framework">Translations!$B$53</definedName>
    <definedName name="template_label_cooperative_specific_disclosures_validation">Translations!$B$66</definedName>
    <definedName name="template_label_country">Translations!$B$166</definedName>
    <definedName name="template_label_country_of_employment_contract">Translations!$B$333</definedName>
    <definedName name="template_label_country_of_employment_validation">Translations!$B$88</definedName>
    <definedName name="template_label_country_of_primary_operations_and_location_of_significant_asset">Translations!$B$154</definedName>
    <definedName name="template_label_cubic_meters">Translations!$B$301</definedName>
    <definedName name="template_label_currency_of_the_monetary_values_in_the_report">Translations!$B$129</definedName>
    <definedName name="template_label_current_reporting_period">Translations!$B$212</definedName>
    <definedName name="template_label_date_of_foreseen_adoption_of_transition_plan_for_undertaking_not_having_adopted_transition_plan_yet">Translations!$B$246</definedName>
    <definedName name="template_label_date_warning">Translations!$B$479</definedName>
    <definedName name="template_label_day">Translations!$B$249</definedName>
    <definedName name="template_label_decimal_separator_document_information">Translations!$B$8</definedName>
    <definedName name="template_label_description_of_a_practice_policy_and_or_future_initiative_towards_a_more_sustainable_future">Translations!$B$189</definedName>
    <definedName name="template_label_description_of_a_transition_plan_for_climate_change_mitigation">Translations!$B$245</definedName>
    <definedName name="template_label_description_of_actions_taken_to_address_the_confirmed_incidents">Translations!$B$376</definedName>
    <definedName name="template_label_description_of_circular_economy_principles_validation">Translations!$B$81</definedName>
    <definedName name="template_label_description_of_climate_related_hazards_and_climate_related_transition_events">Translations!$B$313</definedName>
    <definedName name="template_label_description_of_how_it_applies_these_principles">Translations!$B$289</definedName>
    <definedName name="template_label_description_of_main_business_relationships">Translations!$B$195</definedName>
    <definedName name="template_label_description_of_significant_groups_of_products_and_or_services_offered">Translations!$B$193</definedName>
    <definedName name="template_label_description_of_significant_market_the_undertaking_operates_in">Translations!$B$194</definedName>
    <definedName name="template_label_description_of_sustainability_related_certification_or_label">Translations!$B$161</definedName>
    <definedName name="template_label_description_of_target_related_to_a_policy">Translations!$B$190</definedName>
    <definedName name="template_label_description_of_those_key_elements_in_the_strategy_that_relate_or_affect_sustainability_issues">Translations!$B$197</definedName>
    <definedName name="template_label_disclaimer">Translations!$B$409</definedName>
    <definedName name="template_label_disclosure_of_any_other_environmental_and_or_entity_specific_environmental_disclosures">Translations!$B$318</definedName>
    <definedName name="template_label_disclosure_of_any_other_environmental_and_or_entity_specific_environmental_disclosures_validation">Translations!$B$111</definedName>
    <definedName name="template_label_disclosure_of_any_other_general_and_or_entity_specific_information_on_the_reporting_period">Translations!$B$198</definedName>
    <definedName name="template_label_disclosure_of_any_other_general_and_or_entity_specific_information_on_the_reporting_period_validation">Translations!$B$110</definedName>
    <definedName name="template_label_disclosure_of_any_other_governance_and_or_entity_specific_governance_disclosures">Translations!$B$407</definedName>
    <definedName name="template_label_disclosure_of_any_other_governance_and_or_entity_specific_governance_disclosures_validation">Translations!$B$113</definedName>
    <definedName name="template_label_disclosure_of_any_other_social_and_or_entity_specific_social_disclosures">Translations!$B$379</definedName>
    <definedName name="template_label_disclosure_of_any_other_social_and_or_entity_specific_social_disclosures_validation">Translations!$B$112</definedName>
    <definedName name="template_label_disclosure_of_how_it_has_assessed_the_exposure_and_sensitivity_of_its_assets">Translations!$B$314</definedName>
    <definedName name="template_label_disclosure_of_list_of_main_actions_the_entity_seeks_in_order_to_achieve_its_targets_validation">Translations!$B$99</definedName>
    <definedName name="template_label_disclosure_of_sustainability_related_certifications_or_labels_validation">Translations!$B$62</definedName>
    <definedName name="template_label_disclosure_of_whether_it_has_undertaken_climate_change_adaptation_actions">Translations!$B$316</definedName>
    <definedName name="template_label_disclosures_for_which_no_changes_are_reported_compared_to_the_previous_period_reporting">Translations!$B$140</definedName>
    <definedName name="template_label_disclosures_from_the_previous_reporting_period_that_remain_unchanged">Translations!$B$139</definedName>
    <definedName name="template_label_disclosures_related_to_reporting_period">Translations!$B$11</definedName>
    <definedName name="template_label_discrimination">Translations!$B$367</definedName>
    <definedName name="template_label_does_the_undertaking_have_a_code_of_conduct_or_human_rights_policy_for_its_own_workforce">Translations!$B$362</definedName>
    <definedName name="template_label_does_the_undertaking_have_a_complaint_handling_mechanism_for_its_own_workforce">Translations!$B$371</definedName>
    <definedName name="template_label_does_the_undertaking_have_a_governance_body_in_place">Translations!$B$403</definedName>
    <definedName name="template_label_does_the_undertaking_have_confirmed_incidents_in_its_own_workforce">Translations!$B$373</definedName>
    <definedName name="template_label_does_the_undertaking_have_production_processes_in_place_which_significantly_consume_water">Translations!$B$284</definedName>
    <definedName name="template_label_does_the_undertaking_have_sites_that_are_located_in_or_near_biodiversity_sensitive_areas">Translations!$B$266</definedName>
    <definedName name="template_label_does_the_undertaking_operate_in_a_sector_using_significant_material_flows">Translations!$B$305</definedName>
    <definedName name="template_label_each_expanded_fuel_converter_works_exactly_as_explained_above">Translations!#REF!</definedName>
    <definedName name="template_label_effective_participation_of_workers_users_or_other_interested_parties_or_communities_in_governance">Translations!$B$185</definedName>
    <definedName name="template_label_efrag_is_funded_by_the_european_union_through_the_single_market_programme">Translations!$B$49</definedName>
    <definedName name="template_label_electricity">Translations!$B$206</definedName>
    <definedName name="template_label_emission_to_air">Translations!$B$262</definedName>
    <definedName name="template_label_emission_to_soil">Translations!$B$264</definedName>
    <definedName name="template_label_emission_to_water">Translations!$B$263</definedName>
    <definedName name="template_label_employee_counting_methodology_end_of_reporting_period_or_average_during_the_reporting_period">Translations!$B$152</definedName>
    <definedName name="template_label_employee_counting_methodology_for_the_disclosures_below_headcount_full_time_equivalent">Translations!$B$319</definedName>
    <definedName name="template_label_employee_counting_methodology_for_the_disclosures_below_period">Translations!$B$320</definedName>
    <definedName name="template_label_employee_counting_methodology_headcount_or_fulltime_equivalent">Translations!$B$153</definedName>
    <definedName name="template_label_employee_turnover_rate_in_the_reporting_period">Translations!$B$339</definedName>
    <definedName name="template_label_employees_receive_pay_that_is_equal_or_above_applicable_minimum_wage">Translations!$B$347</definedName>
    <definedName name="template_label_ending_day">Translations!$B$136</definedName>
    <definedName name="template_label_ending_month">Translations!$B$135</definedName>
    <definedName name="template_label_ending_year">Translations!$B$134</definedName>
    <definedName name="template_label_energy_consumption_per_hour_in_mwh_for_gaseous_fuels">Translations!$B$441</definedName>
    <definedName name="template_label_energy_consumption_per_hour_in_mwh_for_liquid_fuels">Translations!$B$438</definedName>
    <definedName name="template_label_energy_consumption_per_hour_in_mwh_for_solid_fuels">Translations!$B$436</definedName>
    <definedName name="template_label_energy_consumption_warning">Translations!$B$484</definedName>
    <definedName name="template_label_energy_gaseous_fuels">Translations!$B$443</definedName>
    <definedName name="template_label_energy_liquid_fuels">Translations!$B$440</definedName>
    <definedName name="template_label_energy_solid_fuels">Translations!$B$437</definedName>
    <definedName name="template_label_entity_identifier_document_information">Translations!$B$5</definedName>
    <definedName name="template_label_entity_identifier_scheme_document_information">Translations!$B$6</definedName>
    <definedName name="template_label_entity_name_document_information">Translations!$B$4</definedName>
    <definedName name="template_label_environmental_disclosures_validation">Translations!$B$67</definedName>
    <definedName name="template_label_error">Translations!$B$467</definedName>
    <definedName name="template_label_error_plus_missing_value">Translations!$B$471</definedName>
    <definedName name="template_label_error_plus_missing_value_plus_value_inconsistency">Translations!$B$470</definedName>
    <definedName name="template_label_error_plus_value_inconsistency">Translations!$B$469</definedName>
    <definedName name="template_label_estimated_greenhouse_gas_emissions_considering_the_ghg_protocol_version_2004_in_tco2e_validation">Translations!$B$71</definedName>
    <definedName name="template_label_exclusion_from_eu_reference_benchmarks_validation">Translations!$B$107</definedName>
    <definedName name="template_label_female">Translations!$B$329</definedName>
    <definedName name="template_label_female_to_male_ratio_at_management_level_for_the_reporting_period">Translations!$B$358</definedName>
    <definedName name="template_label_financial_investment_in_the_capital_or_assets_of_social_economy_entities">Translations!$B$186</definedName>
    <definedName name="template_label_forced_labour">Translations!$B$365</definedName>
    <definedName name="template_label_from">Translations!$B$116</definedName>
    <definedName name="template_label_from_capital_case">Translations!$B$445</definedName>
    <definedName name="template_label_fuel_converter">Translations!$B$408</definedName>
    <definedName name="template_label_fuel_type">Translations!$B$414</definedName>
    <definedName name="template_label_fuels">Translations!$B$208</definedName>
    <definedName name="template_label_further_notes">Translations!$B$434</definedName>
    <definedName name="template_label_gaseous_warning">Translations!$B$477</definedName>
    <definedName name="template_label_gender">Translations!$B$327</definedName>
    <definedName name="template_label_gender_diversity_ratio_in_governance_body">Translations!$B$406</definedName>
    <definedName name="template_label_gender_validation">Translations!$B$87</definedName>
    <definedName name="template_label_general_information_validation">Translations!$B$55</definedName>
    <definedName name="template_label_general_principles">Translations!$B$34</definedName>
    <definedName name="template_label_geolocalisation_warning">Translations!$B$483</definedName>
    <definedName name="template_label_GHG_calculator">Translations!$B$490</definedName>
    <definedName name="template_label_ghg_reduction_targets_in_tc02e_validation">Translations!$B$98</definedName>
    <definedName name="template_label_governance_disclosures_validation">Translations!$B$92</definedName>
    <definedName name="template_label_gps_coordinates">Translations!$B$167</definedName>
    <definedName name="template_label_greenhouse_gas_emission_intensity_per_turnover_validation">Translations!$B$72</definedName>
    <definedName name="template_label_gross_scope_1_ghg_emissions">Translations!$B$217</definedName>
    <definedName name="template_label_gross_scope_2_location_based_ghg_emissions">Translations!$B$218</definedName>
    <definedName name="template_label_gross_scope_2_market_based_ghg_emissions">Translations!$B$219</definedName>
    <definedName name="template_label_has_the_strategy_key_elements_that_relate_to_or_affect_sustainability_issues">Translations!$B$196</definedName>
    <definedName name="template_label_has_the_undertaking_has_established_ghg_emission_reduction_targets">Translations!$B$211</definedName>
    <definedName name="template_label_has_the_undertaking_identified_climate_related_hazards_and_climate_related_transition_events">Translations!$B$312</definedName>
    <definedName name="template_label_has_the_undertaking_incurred_in_convictions_and_fines_in_the_reporting_period">Translations!$B$381</definedName>
    <definedName name="template_label_has_the_undertaking_obtained_any_sustainability_related_certification_or_label">Translations!$B$160</definedName>
    <definedName name="template_label_has_the_undertaking_obtained_the_necessary_information_to_provide_an_energy_consumption_breakdown">Translations!$B$202</definedName>
    <definedName name="template_label_has_the_undertaking_put_in_place_specific_practices_policies_and_or_future">Translations!$B$170</definedName>
    <definedName name="template_label_health_and_safety_formula_warning">Translations!$B$489</definedName>
    <definedName name="template_label_how_to_use_it">Translations!$B$25</definedName>
    <definedName name="template_label_human_trafficking">Translations!$B$366</definedName>
    <definedName name="template_label_id">Translations!$B$156</definedName>
    <definedName name="template_label_identifier_of_the_reporting_entity">Translations!$B$128</definedName>
    <definedName name="template_label_identifier_warning">Translations!$B$478</definedName>
    <definedName name="template_label_if_applicable">Translations!$B$120</definedName>
    <definedName name="template_label_if_applicable_linked_to_b2">Translations!$B$124</definedName>
    <definedName name="template_label_if_yes_are_incidents_related_to">Translations!$B$374</definedName>
    <definedName name="template_label_if_yes_does_this_cover">Translations!$B$363</definedName>
    <definedName name="template_label_incomplete">Translations!$B$464</definedName>
    <definedName name="template_label_indicates_that_data_entry_is_ok_and_the_undertaking_can_proceed_to_the_next_disclosure">Translations!$B$46</definedName>
    <definedName name="template_label_indicates_that_either_data_entry_is_incorrect_in_terms_of_format_or_that_certain_information">Translations!$B$44</definedName>
    <definedName name="template_label_indicates_that_no_data_entry_is_required_unless_certain_logics_are_selected_in_the_disclosure_itself">Translations!$B$42</definedName>
    <definedName name="template_label_indicates_that_the_cell_is_automatically_calculated_and_that_no_data_entry_is_required">Translations!$B$40</definedName>
    <definedName name="template_label_indicates_that_the_cell_should_be_filled_either_by_selecting_a_value_from_the_dropdown">Translations!$B$413</definedName>
    <definedName name="template_label_indicates_that_the_datapoint_often_a_condition_will_not_be_included_in_the_vsme_and_digital_xbrl_report">Translations!$B$41</definedName>
    <definedName name="template_label_indicates_that_the_disclosure_is_from_the_general_principles_of_the_vsme">Translations!$B$35</definedName>
    <definedName name="template_label_indicates_that_the_disclosure_is_from_the_vsme_basic_module">Translations!$B$37</definedName>
    <definedName name="template_label_indicates_that_the_disclosure_is_from_the_vsme_comprehensive_module">Translations!$B$39</definedName>
    <definedName name="template_label_information_on_previous_reporting_period">Translations!$B$138</definedName>
    <definedName name="template_label_information_on_previous_reporting_period_validation">Translations!$B$57</definedName>
    <definedName name="template_label_information_on_the_report_necessary_for_xbrl">Translations!$B$126</definedName>
    <definedName name="template_label_information_on_the_report_necessary_for_xbrl_validation">Translations!$B$56</definedName>
    <definedName name="template_label_invalid_url">Translations!$B$473</definedName>
    <definedName name="template_label_is_the_undertaking_aware_of_any_confirmed_incidents_involving_workers">Translations!$B$377</definedName>
    <definedName name="template_label_is_the_undertaking_deriving_revenues_from_one_of_the_activities_listed_below">Translations!$B$385</definedName>
    <definedName name="template_label_is_the_undertaking_disclosing_entity_specific_information_on_scope_3_emissions">Translations!$B$222</definedName>
    <definedName name="template_label_is_the_undertaking_operating_in_high_impact_sectors">Translations!$B$243</definedName>
    <definedName name="template_label_is_this_disclosure_already_publicly_available">Translations!$B$257</definedName>
    <definedName name="template_label_its_important_to_note_that_the_automatic_calculation_performed_by_the_fuel_converter_is_done_using_ncvs_and_densities">Translations!#REF!</definedName>
    <definedName name="template_label_just_in_case_the_solution_of_a_not_automatized_calculation_using_specific_values_is_preferred_to_the_one_of_the_converter">Translations!#REF!</definedName>
    <definedName name="template_label_kilograms">Translations!$B$309</definedName>
    <definedName name="template_label_land_use_type">Translations!$B$274</definedName>
    <definedName name="template_label_limits_to_the_distribution_of_profits">Translations!$B$187</definedName>
    <definedName name="template_label_link_to_previous_report_containing_disclosures_that_remain_unchanged">Translations!$B$141</definedName>
    <definedName name="template_label_liquid_warning">Translations!$B$475</definedName>
    <definedName name="template_label_list_of_omitted_disclosures_deemed_to_be_classified_or_sensitive_information">Translations!$B$144</definedName>
    <definedName name="template_label_list_of_sites_validation">Translations!$B$63</definedName>
    <definedName name="template_label_list_of_subsidiaries_validation">Translations!$B$61</definedName>
    <definedName name="template_label_lists_can_be_expanded_using_the_plus_button_on_the_left">Translations!$B$48</definedName>
    <definedName name="template_label_main_title_of_report_text">Translations!$B$20</definedName>
    <definedName name="template_label_male">Translations!$B$328</definedName>
    <definedName name="template_label_mass_gaseous_fuels">Translations!$B$442</definedName>
    <definedName name="template_label_mass_liquid_fuels">Translations!$B$439</definedName>
    <definedName name="template_label_mass_volume">Translations!$B$307</definedName>
    <definedName name="template_label_may">Translations!$B$121</definedName>
    <definedName name="template_label_may_not_headline">Translations!$B$122</definedName>
    <definedName name="template_label_missing_value">Translations!$B$466</definedName>
    <definedName name="template_label_missing_value_plus_value_inconsistency">Translations!$B$472</definedName>
    <definedName name="template_label_monetary_amount_in">Translations!$B$386</definedName>
    <definedName name="template_label_month">Translations!$B$248</definedName>
    <definedName name="template_label_most_senior_level_accountable_for_implementing_practices_policies_and_or_future_initiatives">Translations!$B$191</definedName>
    <definedName name="template_label_nace_sector_classification_code">Translations!$B$148</definedName>
    <definedName name="template_label_NACE_warning">Translations!$B$482</definedName>
    <definedName name="template_label_name">Translations!$B$157</definedName>
    <definedName name="template_label_name_of_the_key_material">Translations!$B$306</definedName>
    <definedName name="template_label_name_of_the_reporting_entity">Translations!$B$127</definedName>
    <definedName name="template_label_no_value_can_be_entered_in_the_cell">Translations!$B$47</definedName>
    <definedName name="template_label_non_renewable">Translations!$B$204</definedName>
    <definedName name="template_label_none_of_the_above">Translations!$B$400</definedName>
    <definedName name="template_label_not_reported">Translations!$B$331</definedName>
    <definedName name="template_label_number_of_annual_training_hours_per_employee_during_the_reporting_period">Translations!$B$353</definedName>
    <definedName name="template_label_number_of_employees">Translations!$B$151</definedName>
    <definedName name="template_label_number_of_employees_at_the_beginning_of_the_reporting_period">Translations!$B$337</definedName>
    <definedName name="template_label_number_of_employees_at_the_end_of_the_reporting_period">Translations!$B$338</definedName>
    <definedName name="template_label_number_of_employees_covered_by_collective_bargaining_agreements">Translations!$B$351</definedName>
    <definedName name="template_label_number_of_employees_warning">Translations!$B$488</definedName>
    <definedName name="template_label_number_of_employees_who_left_during_the_reporting_period">Translations!$B$336</definedName>
    <definedName name="template_label_number_of_fatalities_as_a_result_of_work_related_injuries_and_work_related_ill_health">Translations!$B$345</definedName>
    <definedName name="template_label_number_of_female_board_members_at_the_end_of_the_reporting_period">Translations!$B$404</definedName>
    <definedName name="template_label_number_of_female_employees_at_management_level">Translations!$B$357</definedName>
    <definedName name="template_label_number_of_hours_worked_by_one_fulltime_employee_in_the_reporting_period">Translations!$B$342</definedName>
    <definedName name="template_label_number_of_male_board_members_at_the_end_of_the_reporting_period">Translations!$B$405</definedName>
    <definedName name="template_label_number_of_male_employees_at_management_level">Translations!$B$356</definedName>
    <definedName name="template_label_number_of_recordable_work_related_accidents_in_the_reporting_period">Translations!$B$341</definedName>
    <definedName name="template_label_ok">Translations!$B$474</definedName>
    <definedName name="template_label_other">Translations!$B$330</definedName>
    <definedName name="template_label_other_if_yes_specify">Translations!$B$369</definedName>
    <definedName name="template_label_other_undertakings_legal_form_specification">Translations!$B$147</definedName>
    <definedName name="template_label_other_warning">Translations!$B$481</definedName>
    <definedName name="template_label_overall_validation_status_validation">Translations!$B$51</definedName>
    <definedName name="template_label_own_workforce">Translations!$B$179</definedName>
    <definedName name="template_label_paragraph_guidance_reference">Translations!$B$115</definedName>
    <definedName name="template_label_paragraph_reference">Translations!$B$114</definedName>
    <definedName name="template_label_percentage_gap_in_pay_between_the__undertakings_female_and_male_employees">Translations!$B$350</definedName>
    <definedName name="template_label_percentage_of_employees_covered_by_collective_bargaining_agreements">Translations!$B$352</definedName>
    <definedName name="template_label_percentage_reduction_from_base_year">Translations!$B$215</definedName>
    <definedName name="template_label_permanent_contract">Translations!$B$323</definedName>
    <definedName name="template_label_please_note_that_the_typical_values_for_net_calorific_value_and_density_are_provided_for_each_fuel_type">Translations!$B$411</definedName>
    <definedName name="template_label_please_provide_the_relevant_url_link_or_hyperlink_of_where_this_information_is_reported">Translations!$B$258</definedName>
    <definedName name="template_label_please_select_the_unit_used_for_reporting_the_amount">Translations!$B$259</definedName>
    <definedName name="template_label_please_select_the_unit_used_for_the_area">Translations!$B$267</definedName>
    <definedName name="template_label_pollutant">Translations!$B$261</definedName>
    <definedName name="template_label_pollution">Translations!$B$175</definedName>
    <definedName name="template_label_postal_code">Translations!$B$164</definedName>
    <definedName name="template_label_potential_adverse_effects_of_climate_risks">Translations!$B$317</definedName>
    <definedName name="template_label_practices_policies_and_future_initiatives_for_transitioning_towards_a_more_sustainable_economy_validation">Translations!$B$65</definedName>
    <definedName name="template_label_publication_date">Translations!$B$16</definedName>
    <definedName name="template_label_rate_of_recordable_work_related_accidents_in_the_reporting_period">Translations!$B$344</definedName>
    <definedName name="template_label_registered_address">Translations!$B$158</definedName>
    <definedName name="template_label_related_site_id">Translations!$B$268</definedName>
    <definedName name="template_label_renewable">Translations!$B$203</definedName>
    <definedName name="template_label_report_currency_document_information">Translations!$B$7</definedName>
    <definedName name="template_label_report_generated">Translations!$B$10</definedName>
    <definedName name="template_label_report_period_document_information">Translations!$B$9</definedName>
    <definedName name="template_label_reporting_period">Translations!$B$13</definedName>
    <definedName name="template_label_reporting_period_end_date">Translations!$B$137</definedName>
    <definedName name="template_label_reporting_period_start_date">Translations!$B$133</definedName>
    <definedName name="template_label_reproduction_and_use_rights_are_strictly_limited">Translations!$B$50</definedName>
    <definedName name="template_label_required_by_law_or_other_national_regulations_to_report_to_competent_authorities_its_emissions_of_pollutants">Translations!$B$256</definedName>
    <definedName name="template_label_revenue_derived_from_chemicals_production">Translations!$B$393</definedName>
    <definedName name="template_label_revenue_derived_from_coal">Translations!$B$389</definedName>
    <definedName name="template_label_revenue_derived_from_controversial_weapons">Translations!$B$387</definedName>
    <definedName name="template_label_revenue_derived_from_cultivation_and_production_of_tobacco">Translations!$B$388</definedName>
    <definedName name="template_label_revenue_derived_from_gas">Translations!$B$391</definedName>
    <definedName name="template_label_revenue_derived_from_oil">Translations!$B$390</definedName>
    <definedName name="template_label_revenues_from_certain_sectors_validation">Translations!$B$106</definedName>
    <definedName name="template_label_row_id">Translations!$B$260</definedName>
    <definedName name="template_label_scope_1_and_scope_2_ghg_emissions_intensity_location_based">Translations!$B$251</definedName>
    <definedName name="template_label_scope_1_and_scope_2_ghg_emissions_intensity_market_based">Translations!$B$252</definedName>
    <definedName name="template_label_scope_3_categories_warning">Translations!$B$485</definedName>
    <definedName name="template_label_select_template_display_language">Translations!$B$18</definedName>
    <definedName name="template_label_selfgenerated_electricity">Translations!$B$207</definedName>
    <definedName name="template_label_site_ID_value_inconsistency_warning">Translations!$B$486</definedName>
    <definedName name="template_label_site_located_in_a_biodiversity_sensitive_area">Translations!$B$271</definedName>
    <definedName name="template_label_site_located_near_a_biodiversity_sensitive_area">Translations!$B$272</definedName>
    <definedName name="template_label_site_location_in_near_a_biodiversity_area">Translations!$B$269</definedName>
    <definedName name="template_label_sites_in_biodiversity_sensitive_areas_validation">Translations!$B$75</definedName>
    <definedName name="template_label_size_of_balance_sheet_in">Translations!$B$149</definedName>
    <definedName name="template_label_social_disclosures_validation">Translations!$B$84</definedName>
    <definedName name="template_label_solid_warning">Translations!$B$476</definedName>
    <definedName name="template_label_specific_content_validation_status_validation">Translations!$B$54</definedName>
    <definedName name="template_label_specification_of_any_confirmed_incident_involving_workers">Translations!$B$378</definedName>
    <definedName name="template_label_specify_other_human_rights_related_to_the_confirmed_incidents">Translations!$B$375</definedName>
    <definedName name="template_label_specify_other_types_of_content_covered_by_the_code_of_conduct_or_human_rights_policy">Translations!$B$370</definedName>
    <definedName name="template_label_starting_day">Translations!$B$132</definedName>
    <definedName name="template_label_starting_month">Translations!$B$131</definedName>
    <definedName name="template_label_starting_year">Translations!$B$130</definedName>
    <definedName name="template_label_state_of_matter">Translations!$B$416</definedName>
    <definedName name="template_label_state_of_matter_warning">Translations!#REF!</definedName>
    <definedName name="template_label_status_of_implementation_of_a_transition_plan_in_relation_to_climate_change_mitigation">Translations!$B$244</definedName>
    <definedName name="template_label_steps_to_follow_for_the_mass_table">Translations!$B$452</definedName>
    <definedName name="template_label_subtitle_of_report">Translations!$B$21</definedName>
    <definedName name="template_label_subtitle_of_report_text">Translations!$B$22</definedName>
    <definedName name="template_label_sustainability_issues_addressed_by_a_practice_policy_and_or_future_initiatives_put_in_place">Translations!$B$171</definedName>
    <definedName name="template_label_table_of_contents">Translations!$B$12</definedName>
    <definedName name="template_label_table_of_contents_validation">Translations!$B$52</definedName>
    <definedName name="template_label_target_year">Translations!$B$214</definedName>
    <definedName name="template_label_taxonomy_entry_point">Translations!$B$17</definedName>
    <definedName name="template_label_temporary_contract">Translations!$B$324</definedName>
    <definedName name="template_label_the_converter_offers_the_possibility_of_calculating_simultaneously_up_to_10_different_types_of_fuel">Translations!$B$435</definedName>
    <definedName name="template_label_the_purpose_of_this_digital_template_is_to_illustrate_how_vsme_reporting_can_be_implemented_in_a_digital_template">Translations!$B$24</definedName>
    <definedName name="template_label_the_steps_to_follow_for_the_other_tables">Translations!$B$457</definedName>
    <definedName name="template_label_this_converter_is_intended_solely_to_illustrate_how_energy_consumption_in_mwh">Translations!$B$410</definedName>
    <definedName name="template_label_time_horizons_of_any_climate_related_hazards_and_transition_events_identified">Translations!$B$315</definedName>
    <definedName name="template_label_title_of_report">Translations!$B$19</definedName>
    <definedName name="template_label_to">Translations!$B$117</definedName>
    <definedName name="template_label_total_amount_of_fines_for_the_violation_of_anti_corruption_and_anti_bribery_laws">Translations!$B$383</definedName>
    <definedName name="template_label_total_amount_of_waste_generated">Translations!$B$297</definedName>
    <definedName name="template_label_total_amount_of_water_withdrawn_from_all_sites">Translations!$B$281</definedName>
    <definedName name="template_label_total_annual_mass_flow_of_relevant_materials_used_mass">Translations!$B$308</definedName>
    <definedName name="template_label_total_annual_mass_flow_of_relevant_materials_used_volume">Translations!$B$310</definedName>
    <definedName name="template_label_total_employees">Translations!$B$325</definedName>
    <definedName name="template_label_total_energy">Translations!$B$431</definedName>
    <definedName name="template_label_total_energy_consumption">Translations!$B$200</definedName>
    <definedName name="template_label_total_energy_consumption_in_mwh_validation">Translations!$B$69</definedName>
    <definedName name="template_label_total_hazardous_waste_generated_mass">Translations!$B$296</definedName>
    <definedName name="template_label_total_hazardous_waste_generated_volume">Translations!$B$300</definedName>
    <definedName name="template_label_total_nature_oriented_area_off_site">Translations!$B$278</definedName>
    <definedName name="template_label_total_nature_oriented_area_on_site">Translations!$B$277</definedName>
    <definedName name="template_label_total_non_hazardous_waste_generated_mass">Translations!$B$298</definedName>
    <definedName name="template_label_total_non_hazardous_waste_generated_volume">Translations!$B$302</definedName>
    <definedName name="template_label_total_nonrenewable_energy">Translations!$B$433</definedName>
    <definedName name="template_label_total_number_of_convictions_for_the_violation_of_anti_corruption_and_anti_bribery_laws">Translations!$B$382</definedName>
    <definedName name="template_label_total_number_of_hours_worked_in_a_year_by_all_employees_in_the_reporting_period">Translations!$B$343</definedName>
    <definedName name="template_label_total_renewable_and_nonrenewable">Translations!$B$205</definedName>
    <definedName name="template_label_total_renewable_energy">Translations!$B$432</definedName>
    <definedName name="template_label_total_revenues_derived_from_fossil_fuel_sector">Translations!$B$392</definedName>
    <definedName name="template_label_total_scope_1_and_scope_2_ghg_emissions_location_based">Translations!$B$220</definedName>
    <definedName name="template_label_total_scope_1_and_scope_2_ghg_emissions_market_based">Translations!$B$221</definedName>
    <definedName name="template_label_total_scope_1_scope_2_and_scope_3_ghg_emissions_intensity_location_based">Translations!$B$253</definedName>
    <definedName name="template_label_total_scope_1_scope_2_and_scope_3_ghg_emissions_intensity_market_based">Translations!$B$254</definedName>
    <definedName name="template_label_total_scope_1_scope_2_and_scope_3_ghg_emissions_location_based">Translations!$B$239</definedName>
    <definedName name="template_label_total_scope_1_scope_2_and_scope_3_ghg_emissions_market_based">Translations!$B$240</definedName>
    <definedName name="template_label_total_scope_3_ghg_emissions">Translations!$B$238</definedName>
    <definedName name="template_label_total_sealed_area">Translations!$B$276</definedName>
    <definedName name="template_label_total_self_employed_workers_without_personnel_that_are_working_exclusively_for_the_undertaking">Translations!$B$359</definedName>
    <definedName name="template_label_total_temporary_workers_provided_by_undertakings_primarily_engaged_in_employment_activities">Translations!$B$360</definedName>
    <definedName name="template_label_total_use_of_land">Translations!$B$279</definedName>
    <definedName name="template_label_total_waste_generated_mass">Translations!$B$299</definedName>
    <definedName name="template_label_total_waste_generated_volume">Translations!$B$303</definedName>
    <definedName name="template_label_total_waste_recycled_reused_and_directed_to_disposal">Translations!$B$295</definedName>
    <definedName name="template_label_total_water_consumption">Translations!$B$286</definedName>
    <definedName name="template_label_transfer_the_total_results_to_the_b3_fuel_energy_consumption_reporting_cell">Translations!$B$430</definedName>
    <definedName name="template_label_transition_plan_for_undertakings_operating_in_high_climate_impact_sectors_validation">Translations!$B$100</definedName>
    <definedName name="template_label_turnover_in">Translations!$B$150</definedName>
    <definedName name="template_label_turnover_rate_validation">Translations!$B$89</definedName>
    <definedName name="template_label_type_of_contract">Translations!$B$322</definedName>
    <definedName name="template_label_type_of_contract_validation">Translations!$B$86</definedName>
    <definedName name="template_label_type_of_waste">Translations!$B$291</definedName>
    <definedName name="template_label_type_of_waste_warning">Translations!$B$487</definedName>
    <definedName name="template_label_typical_renewable_state">Translations!$B$417</definedName>
    <definedName name="template_label_undertaking_applies_circular_economy_principles">Translations!$B$288</definedName>
    <definedName name="template_label_undertaking_has_a_practice_policy_and_or_future_initiative_that_is_publicly_available">Translations!$B$172</definedName>
    <definedName name="template_label_undertaking_has_set_a_target_which_is_related_to_a_policy">Translations!$B$173</definedName>
    <definedName name="template_label_undertaking_operating_in_more_than_one_country">Translations!$B$334</definedName>
    <definedName name="template_label_undertakings_are_excluded_from_any_eu_reference_benchmarks_that_are_aligned_with_the_paris_agreement">Translations!$B$401</definedName>
    <definedName name="template_label_undertakings_are_excluded_from_the_eu_paris_aligned_benchmarks_if_they_derive">Translations!$B$395</definedName>
    <definedName name="template_label_undertakings_legal_form">Translations!$B$146</definedName>
    <definedName name="template_label_unit_of_measurement">Translations!$B$292</definedName>
    <definedName name="template_label_unit_of_measurement_converter">Translations!$B$444</definedName>
    <definedName name="template_label_unit_of_measurement_of_density_converter">Translations!$B$450</definedName>
    <definedName name="template_label_unit_of_measurement_of_density_converter_list">Translations!$B$462</definedName>
    <definedName name="template_label_unit_of_measurement_of_energy_consumption_per_hour">Translations!$B$448</definedName>
    <definedName name="template_label_unit_of_measurement_of_energy_converter_list">Translations!$B$461</definedName>
    <definedName name="template_label_unit_of_measurement_of_mass_converter">Translations!$B$446</definedName>
    <definedName name="template_label_unit_of_measurement_of_mass_converter_list">Translations!$B$459</definedName>
    <definedName name="template_label_unit_of_measurement_of_ncv_converter">Translations!$B$449</definedName>
    <definedName name="template_label_unit_of_measurement_of_ncv_converter_list">Translations!$B$463</definedName>
    <definedName name="template_label_unit_of_measurement_of_volume_converter">Translations!$B$447</definedName>
    <definedName name="template_label_unit_of_measurement_of_volume_converter_list">Translations!$B$460</definedName>
    <definedName name="template_label_usage_of_fuel_converter">Translations!$B$419</definedName>
    <definedName name="template_label_usage_of_unit_of_measurement_converter">Translations!$B$451</definedName>
    <definedName name="template_label_validation_missing_value_error_value_inconsistency_invalid_url">Translations!#REF!</definedName>
    <definedName name="template_label_validation_missing_value_error_velue_inconsistency_invalid_url">Translations!$B$43</definedName>
    <definedName name="template_label_validation_ok">Translations!$B$45</definedName>
    <definedName name="template_label_value_inconsistency">Translations!$B$468</definedName>
    <definedName name="template_label_version">Translations!$B$15</definedName>
    <definedName name="template_label_vsme_digital_template">Translations!$B$23</definedName>
    <definedName name="template_label_waste_directed_to_disposal">Translations!$B$294</definedName>
    <definedName name="template_label_waste_diverted_to_recycle_or_reuse">Translations!$B$293</definedName>
    <definedName name="template_label_waste_generated_validation">Translations!$B$82</definedName>
    <definedName name="template_label_water_and_marine_resources">Translations!$B$176</definedName>
    <definedName name="template_label_water_consumption_validation">Translations!$B$79</definedName>
    <definedName name="template_label_water_discharge_from_undertaking_production_processes">Translations!$B$285</definedName>
    <definedName name="template_label_water_withdrawal_validation">Translations!$B$78</definedName>
    <definedName name="template_label_workers_in_the_value_chain">Translations!$B$180</definedName>
    <definedName name="template_label_XBRL_facts_in_report">Translations!$B$14</definedName>
    <definedName name="template_label_year">Translations!$B$247</definedName>
    <definedName name="template_label_year_date">Translations!$B$216</definedName>
    <definedName name="template_overall_validation_status">'Table of Contents &amp; Validation'!$C$3</definedName>
    <definedName name="template_reporting_entity_identifier">'General Information'!$E$4</definedName>
    <definedName name="template_reporting_entity_identifier_scheme">'General Information'!$D$4</definedName>
    <definedName name="template_reporting_entity_name">'General Information'!$D$3:$E$3</definedName>
    <definedName name="template_reporting_period_display">'Technical Sheet'!$B$1</definedName>
    <definedName name="template_reporting_period_enddate">'General Information'!$D$13</definedName>
    <definedName name="template_reporting_period_startdate">'General Information'!$D$9</definedName>
    <definedName name="template_reporting_schemaRef">Introduction!$C$10</definedName>
    <definedName name="template_reporting_subtitle">Introduction!$C$13</definedName>
    <definedName name="template_reporting_template_version">Introduction!$C$1</definedName>
    <definedName name="template_reporting_title">Introduction!$C$12</definedName>
    <definedName name="template_selected_display_language">Introduction!$C$11</definedName>
    <definedName name="template_starting_date_display">'Technical Sheet'!$B$2</definedName>
    <definedName name="template_translations">Translations!$C$3:$G$3</definedName>
    <definedName name="TimeHorizonsOfAnyClimateRelatedHazardsAndTransitionEventsIdentified">'Environmental Disclosures'!$E$238</definedName>
    <definedName name="TotalAmountOfFinesForTheViolationOfAnticorruptionAndAntibriberyLaws">'Governance Disclosures'!$H$7</definedName>
    <definedName name="TotalAmountOfWaterWithdrawnFromAllSites">'Environmental Disclosures'!$D$169</definedName>
    <definedName name="TotalEnergyConsumption">'Environmental Disclosures'!$G$5</definedName>
    <definedName name="TotalGrossLocationBasedGHGEmissions_BaselineYearMember">'Environmental Disclosures'!$G$46</definedName>
    <definedName name="TotalGrossLocationBasedGHGEmissions_CurrentlyStatedMember">'Environmental Disclosures'!$D$46</definedName>
    <definedName name="TotalGrossLocationBasedGHGEmissions_TargetYearMember">'Environmental Disclosures'!$J$46</definedName>
    <definedName name="TotalGrossLocationBasedScope1AndScope2GHGEmissions">'Environmental Disclosures'!$D$25</definedName>
    <definedName name="TotalGrossLocationBasedScope1AndScope2GHGEmissions_BaselineYearMember">'Environmental Disclosures'!$G$25</definedName>
    <definedName name="TotalGrossLocationBasedScope1AndScope2GHGEmissions_TargetYearMember">'Environmental Disclosures'!$J$25</definedName>
    <definedName name="TotalGrossMarketBasedGHGEmissions_BaselineYearMember">'Environmental Disclosures'!$G$47</definedName>
    <definedName name="TotalGrossMarketBasedGHGEmissions_CurrentlyStatedMember">'Environmental Disclosures'!$D$47</definedName>
    <definedName name="TotalGrossMarketBasedGHGEmissions_TargetYearMember">'Environmental Disclosures'!$J$47</definedName>
    <definedName name="TotalGrossMarketBasedScope1AndScope2GHGEmissions">'Environmental Disclosures'!$D$26</definedName>
    <definedName name="TotalGrossMarketBasedScope1AndScope2GHGEmissions_BaselineYearMember">'Environmental Disclosures'!$G$26</definedName>
    <definedName name="TotalGrossMarketBasedScope1AndScope2GHGEmissions_TargetYearMember">'Environmental Disclosures'!$J$26</definedName>
    <definedName name="TotalHazardousWasteGeneratedMass">'Environmental Disclosures'!$J$204:$L$204</definedName>
    <definedName name="TotalHazardousWasteGeneratedMass_unit">'Environmental Disclosures'!$G$204:$I$204</definedName>
    <definedName name="TotalHazardousWasteGeneratedVolume">'Environmental Disclosures'!$J$207:$L$207</definedName>
    <definedName name="TotalHazardousWasteGeneratedVolume_unit">'Environmental Disclosures'!$G$207:$I$207</definedName>
    <definedName name="TotalLocationBasedGreenhouseGasEmissionsIntensityValue">'Environmental Disclosures'!$G$68</definedName>
    <definedName name="TotalMarketBasedGreenhouseGasEmissionsIntensityValue">'Environmental Disclosures'!$G$69</definedName>
    <definedName name="TotalMassOfMaterialUsed">'Environmental Disclosures'!$G$231</definedName>
    <definedName name="TotalMassOfMaterialUsed_unit">'Environmental Disclosures'!$J$231</definedName>
    <definedName name="TotalNatureOrientedAreaOffSite">'Environmental Disclosures'!$D$163:$F$163</definedName>
    <definedName name="TotalNatureOrientedAreaOffSite_unit">'Environmental Disclosures'!$C$159</definedName>
    <definedName name="TotalNatureOrientedAreaOnSite">'Environmental Disclosures'!$D$162:$F$162</definedName>
    <definedName name="TotalNatureOrientedAreaOnSite_unit">'Environmental Disclosures'!$C$159</definedName>
    <definedName name="TotalNonHazardousWasteGeneratedMass">'Environmental Disclosures'!$J$205:$L$205</definedName>
    <definedName name="TotalNonHazardousWasteGeneratedMass_unit">'Environmental Disclosures'!$G$205:$I$205</definedName>
    <definedName name="TotalNonHazardousWasteGeneratedVolume">'Environmental Disclosures'!$J$208:$L$208</definedName>
    <definedName name="TotalNonHazardousWasteGeneratedVolume_unit">'Environmental Disclosures'!$G$208:$I$208</definedName>
    <definedName name="TotalNumberOfConvictionsForTheViolationOfAntiCorruptionAndAntiBriberyLaws">'Governance Disclosures'!$H$6</definedName>
    <definedName name="TotalNumberOfSelfEmployedWorkersWithoutPersonnelThatAreWorkingExclusivelyForTheUndertaking">'Social Disclosures'!$D$69</definedName>
    <definedName name="TotalNumberOfTemporaryWorkersProvidedByUndertakingsPrimarilyEngagedInEmploymentActivities">'Social Disclosures'!$D$70</definedName>
    <definedName name="TotalRevenuesDerivedFromFossilFuelCoalOilAndGasSector">'Governance Disclosures'!$H$17</definedName>
    <definedName name="TotalSealedArea">'Environmental Disclosures'!$D$161:$F$161</definedName>
    <definedName name="TotalSealedArea_unit">'Environmental Disclosures'!$C$159</definedName>
    <definedName name="TotalUseOfLand">'Environmental Disclosures'!$D$164:$F$164</definedName>
    <definedName name="TotalUseOfLand_unit">'Environmental Disclosures'!$C$159</definedName>
    <definedName name="TotalVolumeOfMaterialUsed">'Environmental Disclosures'!$G$232</definedName>
    <definedName name="TotalVolumeOfMaterialUsed_unit">'Environmental Disclosures'!$J$232</definedName>
    <definedName name="TotalWasteGeneratedMass">'Environmental Disclosures'!$J$206:$L$206</definedName>
    <definedName name="TotalWasteGeneratedMass_unit">'Environmental Disclosures'!$G$206:$I$206</definedName>
    <definedName name="TotalWasteGeneratedVolume">'Environmental Disclosures'!$J$209:$L$209</definedName>
    <definedName name="TotalWasteGeneratedVolume_unit">'Environmental Disclosures'!$G$209:$I$209</definedName>
    <definedName name="TotalWasteRecycledReusedAndDirectedToDisposalMass">'Environmental Disclosures'!$L$189:$L$203</definedName>
    <definedName name="TotalWasteRecycledReusedAndDirectedToDisposalMass_unit">'Environmental Disclosures'!$G$189:$I$203</definedName>
    <definedName name="TotalWasteRecycledReusedAndDirectedToDisposalVolume">'Environmental Disclosures'!$L$189:$L$203</definedName>
    <definedName name="TotalWasteRecycledReusedAndDirectedToDisposalVolume_unit">'Environmental Disclosures'!$G$189:$I$203</definedName>
    <definedName name="TotalWaterConsumption">'Environmental Disclosures'!$D$177</definedName>
    <definedName name="Turnover">'General Information'!$E$61</definedName>
    <definedName name="TypeOfContentCoveredByTheCodeOfConductOrHumanRightsPolicyForItsOwnWorkforce">'Social Disclosures'!$D$75:$H$80</definedName>
    <definedName name="TypeOfHumanRightRelatedToTheConfirmedIncident">'Social Disclosures'!$D$87:$H$91</definedName>
    <definedName name="TypeOfNumberOfEmployees">'General Information'!$E$64</definedName>
    <definedName name="TypeOfPollutantAxis">'Environmental Disclosures'!$D$80:$F$119</definedName>
    <definedName name="TypeOfWasteAxis">'Environmental Disclosures'!$D$189:$F$203</definedName>
    <definedName name="UndertakingAppliesCircularEconomyPrinciples">'Environmental Disclosures'!$D$182</definedName>
    <definedName name="UndertakingHasACodeOfConductOrHumanRightsPolicyForItsOwnWorkforce">'Social Disclosures'!$D$73</definedName>
    <definedName name="UndertakingHasAComplaintHandlingMechanismForItsOwnWorkforce">'Social Disclosures'!$D$82</definedName>
    <definedName name="UndertakingHasConfirmedHumanRightsIncidentsInItsOwnWorkforce">'Social Disclosures'!$D$85</definedName>
    <definedName name="UndertakingHasSetATargetWhichIsRelatedToAPolicy">'General Information'!$O$140</definedName>
    <definedName name="UndertakingIsAwareOfAnyConfirmedIncidentsInvolvingWorkersInTheValueChainAffectedCommunitiesConsumersAndEndUsers">'Social Disclosures'!$D$94</definedName>
    <definedName name="UndertakingsAreExcludedFromAnyEuReferenceBenchmarksThatAreAlignedWithTheParisAgreement">'Governance Disclosures'!$H$27</definedName>
    <definedName name="UndertakingsLegalForm">'General Information'!$E$43</definedName>
    <definedName name="URLOrLinkToThePubliclyAvailableDisclosure">'Environmental Disclosures'!$G$76</definedName>
    <definedName name="VolumeOfMaterialUsed">'Environmental Disclosures'!$G$216:$I$230</definedName>
    <definedName name="VolumeOfMaterialUsed_unit">'Environmental Disclosures'!$J$216:$J$230</definedName>
    <definedName name="WasteDirectedToDisposalMass">'Environmental Disclosures'!$K$189:$K$203</definedName>
    <definedName name="WasteDirectedToDisposalMass_unit">'Environmental Disclosures'!$G$189:$I$203</definedName>
    <definedName name="WasteDirectedToDisposalVolume">'Environmental Disclosures'!$K$189:$K$203</definedName>
    <definedName name="WasteDirectedToDisposalVolume_unit">'Environmental Disclosures'!$G$189:$I$203</definedName>
    <definedName name="WasteDivertedToRecycleOrReuseMass">'Environmental Disclosures'!$J$189:$J$203</definedName>
    <definedName name="WasteDivertedToRecycleOrReuseMass_unit">'Environmental Disclosures'!$G$189:$I$203</definedName>
    <definedName name="WasteDivertedToRecycleOrReuseVolume">'Environmental Disclosures'!$J$189:$J$203</definedName>
    <definedName name="WasteDivertedToRecycleOrReuseVolume_unit">'Environmental Disclosures'!$G$189:$I$203</definedName>
    <definedName name="WasteGeneratedTable">'Environmental Disclosures'!$D$189:$L$203</definedName>
    <definedName name="WaterDischargeFromUndertakingProductionProcesses">'Environmental Disclosures'!$D$176</definedName>
    <definedName name="WeightOfMaterialUsed">'Environmental Disclosures'!$G$216:$I$230</definedName>
    <definedName name="WeightOfMaterialUsed_unit">'Environmental Disclosures'!$J$216:$J$230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2" l="1"/>
  <c r="D44" i="12"/>
  <c r="D58" i="12"/>
  <c r="D59" i="12"/>
  <c r="L80" i="1"/>
  <c r="B3" i="4" l="1" a="1"/>
  <c r="H33" i="7"/>
  <c r="F19" i="3"/>
  <c r="I38" i="7"/>
  <c r="I12" i="7"/>
  <c r="I7" i="7"/>
  <c r="I6" i="7"/>
  <c r="I101" i="12"/>
  <c r="I95" i="12"/>
  <c r="I93" i="12"/>
  <c r="I92" i="12"/>
  <c r="I87" i="12" a="1"/>
  <c r="M244" i="1"/>
  <c r="L240" i="1"/>
  <c r="L239" i="1"/>
  <c r="L238" i="1"/>
  <c r="L237" i="1"/>
  <c r="L236" i="1"/>
  <c r="K221" i="1"/>
  <c r="K222" i="1"/>
  <c r="K223" i="1"/>
  <c r="K224" i="1"/>
  <c r="K225" i="1"/>
  <c r="K226" i="1"/>
  <c r="K227" i="1"/>
  <c r="K228" i="1"/>
  <c r="K229" i="1"/>
  <c r="K230" i="1"/>
  <c r="M199" i="1" l="1"/>
  <c r="M200" i="1"/>
  <c r="M201" i="1"/>
  <c r="M202" i="1"/>
  <c r="M203" i="1"/>
  <c r="E176" i="1"/>
  <c r="G159" i="1"/>
  <c r="L130" i="1"/>
  <c r="L131" i="1"/>
  <c r="L132" i="1"/>
  <c r="L133" i="1"/>
  <c r="L134" i="1"/>
  <c r="L135" i="1"/>
  <c r="L136" i="1"/>
  <c r="L137" i="1"/>
  <c r="L138" i="1"/>
  <c r="L139" i="1"/>
  <c r="L140" i="1"/>
  <c r="L141" i="1"/>
  <c r="L142" i="1"/>
  <c r="L143" i="1"/>
  <c r="L144" i="1"/>
  <c r="L145" i="1"/>
  <c r="L146" i="1"/>
  <c r="L147" i="1"/>
  <c r="L148" i="1"/>
  <c r="L149" i="1"/>
  <c r="L150" i="1"/>
  <c r="L151" i="1"/>
  <c r="L152" i="1"/>
  <c r="L153" i="1"/>
  <c r="L129" i="1"/>
  <c r="L128" i="1"/>
  <c r="L126"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82" i="1"/>
  <c r="L81" i="1"/>
  <c r="L78" i="1" a="1"/>
  <c r="L76" i="1"/>
  <c r="L75" i="1" a="1"/>
  <c r="L59" i="1"/>
  <c r="I165" i="3"/>
  <c r="E146" i="3"/>
  <c r="E145" i="3"/>
  <c r="E144" i="3"/>
  <c r="F82" i="3"/>
  <c r="F83" i="3"/>
  <c r="F84" i="3"/>
  <c r="F85" i="3"/>
  <c r="F86" i="3"/>
  <c r="F87" i="3"/>
  <c r="F88" i="3"/>
  <c r="F89" i="3"/>
  <c r="F90" i="3"/>
  <c r="F91" i="3"/>
  <c r="F92" i="3"/>
  <c r="F93" i="3"/>
  <c r="F94" i="3"/>
  <c r="F47" i="3"/>
  <c r="F48" i="3"/>
  <c r="F49" i="3"/>
  <c r="F50" i="3"/>
  <c r="F51" i="3"/>
  <c r="F52" i="3"/>
  <c r="F53" i="3"/>
  <c r="F54" i="3"/>
  <c r="F55" i="3"/>
  <c r="F56" i="3"/>
  <c r="F57" i="3"/>
  <c r="F58" i="3"/>
  <c r="F59" i="3"/>
  <c r="F44" i="3"/>
  <c r="F35" i="3"/>
  <c r="F36" i="3"/>
  <c r="F37" i="3"/>
  <c r="F38" i="3"/>
  <c r="F39" i="3"/>
  <c r="F40" i="3"/>
  <c r="F41" i="3"/>
  <c r="F34" i="3"/>
  <c r="F21" i="3"/>
  <c r="F22" i="3"/>
  <c r="F23" i="3"/>
  <c r="F24" i="3"/>
  <c r="F25" i="3"/>
  <c r="F26" i="3"/>
  <c r="F27" i="3"/>
  <c r="F28" i="3"/>
  <c r="F20" i="3"/>
  <c r="F29" i="3"/>
  <c r="F18" i="3"/>
  <c r="D3" i="17" l="1"/>
  <c r="E3" i="17"/>
  <c r="F3" i="17"/>
  <c r="G3" i="17"/>
  <c r="C3" i="17"/>
  <c r="B21" i="17" l="1"/>
  <c r="B13" i="4" s="1"/>
  <c r="B490" i="17"/>
  <c r="A21" i="1" s="1"/>
  <c r="B334" i="17"/>
  <c r="C27" i="12" s="1"/>
  <c r="B19" i="17"/>
  <c r="B12" i="4" s="1"/>
  <c r="B486" i="17"/>
  <c r="M128" i="1" s="1"/>
  <c r="B415" i="17"/>
  <c r="B429" i="17"/>
  <c r="B442" i="17"/>
  <c r="B456" i="17"/>
  <c r="B470" i="17"/>
  <c r="B385" i="17"/>
  <c r="B398" i="17"/>
  <c r="B17" i="17"/>
  <c r="B33" i="17"/>
  <c r="B47" i="17"/>
  <c r="B60" i="17"/>
  <c r="B74" i="17"/>
  <c r="B88" i="17"/>
  <c r="B102" i="17"/>
  <c r="B115" i="17"/>
  <c r="B127" i="17"/>
  <c r="B140" i="17"/>
  <c r="B153" i="17"/>
  <c r="B164" i="17"/>
  <c r="B177" i="17"/>
  <c r="B189" i="17"/>
  <c r="B200" i="17"/>
  <c r="B212" i="17"/>
  <c r="B226" i="17"/>
  <c r="B240" i="17"/>
  <c r="B252" i="17"/>
  <c r="B277" i="17"/>
  <c r="B288" i="17"/>
  <c r="B301" i="17"/>
  <c r="B313" i="17"/>
  <c r="B325" i="17"/>
  <c r="B337" i="17"/>
  <c r="B349" i="17"/>
  <c r="B373" i="17"/>
  <c r="B10" i="17"/>
  <c r="B484" i="17"/>
  <c r="M14" i="1" s="1"/>
  <c r="B420" i="17"/>
  <c r="B434" i="17"/>
  <c r="B447" i="17"/>
  <c r="B461" i="17"/>
  <c r="B475" i="17"/>
  <c r="B390" i="17"/>
  <c r="B402" i="17"/>
  <c r="B24" i="17"/>
  <c r="B38" i="17"/>
  <c r="B51" i="17"/>
  <c r="B65" i="17"/>
  <c r="B79" i="17"/>
  <c r="B93" i="17"/>
  <c r="B107" i="17"/>
  <c r="B119" i="17"/>
  <c r="B132" i="17"/>
  <c r="B144" i="17"/>
  <c r="B157" i="17"/>
  <c r="B182" i="17"/>
  <c r="B193" i="17"/>
  <c r="B204" i="17"/>
  <c r="B217" i="17"/>
  <c r="B231" i="17"/>
  <c r="B243" i="17"/>
  <c r="B256" i="17"/>
  <c r="B269" i="17"/>
  <c r="B281" i="17"/>
  <c r="B292" i="17"/>
  <c r="B305" i="17"/>
  <c r="C214" i="1" s="1"/>
  <c r="B318" i="17"/>
  <c r="B329" i="17"/>
  <c r="B341" i="17"/>
  <c r="B353" i="17"/>
  <c r="B365" i="17"/>
  <c r="B378" i="17"/>
  <c r="B4" i="17"/>
  <c r="B483" i="17"/>
  <c r="L109" i="3" s="1"/>
  <c r="B409" i="17"/>
  <c r="B423" i="17"/>
  <c r="B436" i="17"/>
  <c r="B450" i="17"/>
  <c r="B464" i="17"/>
  <c r="B393" i="17"/>
  <c r="B405" i="17"/>
  <c r="B27" i="17"/>
  <c r="B41" i="17"/>
  <c r="B54" i="17"/>
  <c r="B68" i="17"/>
  <c r="B82" i="17"/>
  <c r="B96" i="17"/>
  <c r="B110" i="17"/>
  <c r="B122" i="17"/>
  <c r="B135" i="17"/>
  <c r="B147" i="17"/>
  <c r="B159" i="17"/>
  <c r="B171" i="17"/>
  <c r="B184" i="17"/>
  <c r="B207" i="17"/>
  <c r="B220" i="17"/>
  <c r="B234" i="17"/>
  <c r="B246" i="17"/>
  <c r="B259" i="17"/>
  <c r="B272" i="17"/>
  <c r="B283" i="17"/>
  <c r="B295" i="17"/>
  <c r="B308" i="17"/>
  <c r="B320" i="17"/>
  <c r="B344" i="17"/>
  <c r="B355" i="17"/>
  <c r="B368" i="17"/>
  <c r="B15" i="17"/>
  <c r="B410" i="17"/>
  <c r="B424" i="17"/>
  <c r="B437" i="17"/>
  <c r="B451" i="17"/>
  <c r="B465" i="17"/>
  <c r="B381" i="17"/>
  <c r="B406" i="17"/>
  <c r="B28" i="17"/>
  <c r="B42" i="17"/>
  <c r="B55" i="17"/>
  <c r="B69" i="17"/>
  <c r="B83" i="17"/>
  <c r="B97" i="17"/>
  <c r="B111" i="17"/>
  <c r="B123" i="17"/>
  <c r="B136" i="17"/>
  <c r="B148" i="17"/>
  <c r="B160" i="17"/>
  <c r="B172" i="17"/>
  <c r="B185" i="17"/>
  <c r="B196" i="17"/>
  <c r="B208" i="17"/>
  <c r="B221" i="17"/>
  <c r="B235" i="17"/>
  <c r="B247" i="17"/>
  <c r="B260" i="17"/>
  <c r="B284" i="17"/>
  <c r="B296" i="17"/>
  <c r="B309" i="17"/>
  <c r="B332" i="17"/>
  <c r="B345" i="17"/>
  <c r="B356" i="17"/>
  <c r="B369" i="17"/>
  <c r="B5" i="17"/>
  <c r="B411" i="17"/>
  <c r="B425" i="17"/>
  <c r="B438" i="17"/>
  <c r="B452" i="17"/>
  <c r="B466" i="17"/>
  <c r="B382" i="17"/>
  <c r="B394" i="17"/>
  <c r="B29" i="17"/>
  <c r="B43" i="17"/>
  <c r="B56" i="17"/>
  <c r="B70" i="17"/>
  <c r="B84" i="17"/>
  <c r="B98" i="17"/>
  <c r="B112" i="17"/>
  <c r="B124" i="17"/>
  <c r="B137" i="17"/>
  <c r="B149" i="17"/>
  <c r="B161" i="17"/>
  <c r="B173" i="17"/>
  <c r="B186" i="17"/>
  <c r="B197" i="17"/>
  <c r="B222" i="17"/>
  <c r="B236" i="17"/>
  <c r="B248" i="17"/>
  <c r="B261" i="17"/>
  <c r="B273" i="17"/>
  <c r="B285" i="17"/>
  <c r="B297" i="17"/>
  <c r="B310" i="17"/>
  <c r="B321" i="17"/>
  <c r="B333" i="17"/>
  <c r="B357" i="17"/>
  <c r="B370" i="17"/>
  <c r="B6" i="17"/>
  <c r="B416" i="17"/>
  <c r="B458" i="17"/>
  <c r="B383" i="17"/>
  <c r="B401" i="17"/>
  <c r="B31" i="17"/>
  <c r="B73" i="17"/>
  <c r="B94" i="17"/>
  <c r="B116" i="17"/>
  <c r="B134" i="17"/>
  <c r="B174" i="17"/>
  <c r="B210" i="17"/>
  <c r="B230" i="17"/>
  <c r="B251" i="17"/>
  <c r="B270" i="17"/>
  <c r="B289" i="17"/>
  <c r="B307" i="17"/>
  <c r="B326" i="17"/>
  <c r="B346" i="17"/>
  <c r="B363" i="17"/>
  <c r="B8" i="17"/>
  <c r="B482" i="17"/>
  <c r="G45" i="3" s="1"/>
  <c r="B417" i="17"/>
  <c r="B439" i="17"/>
  <c r="B459" i="17"/>
  <c r="B32" i="17"/>
  <c r="B52" i="17"/>
  <c r="B75" i="17"/>
  <c r="B95" i="17"/>
  <c r="B117" i="17"/>
  <c r="B155" i="17"/>
  <c r="B175" i="17"/>
  <c r="B192" i="17"/>
  <c r="B211" i="17"/>
  <c r="B232" i="17"/>
  <c r="B253" i="17"/>
  <c r="B271" i="17"/>
  <c r="B327" i="17"/>
  <c r="B347" i="17"/>
  <c r="B364" i="17"/>
  <c r="B9" i="17"/>
  <c r="B488" i="17"/>
  <c r="B480" i="17"/>
  <c r="B422" i="17"/>
  <c r="B444" i="17"/>
  <c r="B467" i="17"/>
  <c r="B388" i="17"/>
  <c r="B380" i="17"/>
  <c r="B37" i="17"/>
  <c r="B59" i="17"/>
  <c r="B80" i="17"/>
  <c r="B103" i="17"/>
  <c r="B121" i="17"/>
  <c r="B180" i="17"/>
  <c r="B216" i="17"/>
  <c r="B239" i="17"/>
  <c r="B257" i="17"/>
  <c r="B278" i="17"/>
  <c r="B294" i="17"/>
  <c r="B315" i="17"/>
  <c r="B352" i="17"/>
  <c r="B14" i="17"/>
  <c r="B479" i="17"/>
  <c r="B428" i="17"/>
  <c r="B448" i="17"/>
  <c r="B471" i="17"/>
  <c r="B392" i="17"/>
  <c r="B20" i="17"/>
  <c r="C12" i="4" s="1"/>
  <c r="B44" i="17"/>
  <c r="B63" i="17"/>
  <c r="B86" i="17"/>
  <c r="B106" i="17"/>
  <c r="B126" i="17"/>
  <c r="B145" i="17"/>
  <c r="B165" i="17"/>
  <c r="B201" i="17"/>
  <c r="B223" i="17"/>
  <c r="B263" i="17"/>
  <c r="B280" i="17"/>
  <c r="B300" i="17"/>
  <c r="B338" i="17"/>
  <c r="B375" i="17"/>
  <c r="B489" i="17"/>
  <c r="J45" i="12" s="1"/>
  <c r="B433" i="17"/>
  <c r="B463" i="17"/>
  <c r="B396" i="17"/>
  <c r="B34" i="17"/>
  <c r="B62" i="17"/>
  <c r="B91" i="17"/>
  <c r="B120" i="17"/>
  <c r="B150" i="17"/>
  <c r="B176" i="17"/>
  <c r="B228" i="17"/>
  <c r="B255" i="17"/>
  <c r="B311" i="17"/>
  <c r="B336" i="17"/>
  <c r="B361" i="17"/>
  <c r="B13" i="17"/>
  <c r="B414" i="17"/>
  <c r="B445" i="17"/>
  <c r="B474" i="17"/>
  <c r="B404" i="17"/>
  <c r="B45" i="17"/>
  <c r="B72" i="17"/>
  <c r="B104" i="17"/>
  <c r="B130" i="17"/>
  <c r="B158" i="17"/>
  <c r="B187" i="17"/>
  <c r="B209" i="17"/>
  <c r="B266" i="17"/>
  <c r="B291" i="17"/>
  <c r="B319" i="17"/>
  <c r="B343" i="17"/>
  <c r="B372" i="17"/>
  <c r="B421" i="17"/>
  <c r="B453" i="17"/>
  <c r="B384" i="17"/>
  <c r="B18" i="17"/>
  <c r="B49" i="17"/>
  <c r="B78" i="17"/>
  <c r="B109" i="17"/>
  <c r="B138" i="17"/>
  <c r="B163" i="17"/>
  <c r="B190" i="17"/>
  <c r="B215" i="17"/>
  <c r="B244" i="17"/>
  <c r="B274" i="17"/>
  <c r="B299" i="17"/>
  <c r="B324" i="17"/>
  <c r="B351" i="17"/>
  <c r="B377" i="17"/>
  <c r="B426" i="17"/>
  <c r="B454" i="17"/>
  <c r="B386" i="17"/>
  <c r="B22" i="17"/>
  <c r="C13" i="4" s="1"/>
  <c r="B50" i="17"/>
  <c r="B81" i="17"/>
  <c r="B113" i="17"/>
  <c r="B139" i="17"/>
  <c r="B166" i="17"/>
  <c r="B191" i="17"/>
  <c r="B218" i="17"/>
  <c r="B245" i="17"/>
  <c r="B275" i="17"/>
  <c r="B302" i="17"/>
  <c r="B418" i="17"/>
  <c r="B460" i="17"/>
  <c r="B400" i="17"/>
  <c r="B53" i="17"/>
  <c r="B92" i="17"/>
  <c r="B131" i="17"/>
  <c r="B169" i="17"/>
  <c r="B205" i="17"/>
  <c r="B249" i="17"/>
  <c r="B286" i="17"/>
  <c r="B322" i="17"/>
  <c r="B359" i="17"/>
  <c r="B419" i="17"/>
  <c r="B462" i="17"/>
  <c r="B403" i="17"/>
  <c r="B57" i="17"/>
  <c r="B99" i="17"/>
  <c r="B133" i="17"/>
  <c r="B170" i="17"/>
  <c r="B206" i="17"/>
  <c r="B250" i="17"/>
  <c r="B323" i="17"/>
  <c r="B360" i="17"/>
  <c r="B485" i="17"/>
  <c r="M30" i="1" s="1"/>
  <c r="B432" i="17"/>
  <c r="B473" i="17"/>
  <c r="B25" i="17"/>
  <c r="B66" i="17"/>
  <c r="B108" i="17"/>
  <c r="B146" i="17"/>
  <c r="B183" i="17"/>
  <c r="B224" i="17"/>
  <c r="B262" i="17"/>
  <c r="B298" i="17"/>
  <c r="B335" i="17"/>
  <c r="B371" i="17"/>
  <c r="B441" i="17"/>
  <c r="B387" i="17"/>
  <c r="B35" i="17"/>
  <c r="B76" i="17"/>
  <c r="B118" i="17"/>
  <c r="B154" i="17"/>
  <c r="B194" i="17"/>
  <c r="B229" i="17"/>
  <c r="B267" i="17"/>
  <c r="B304" i="17"/>
  <c r="B340" i="17"/>
  <c r="B379" i="17"/>
  <c r="B487" i="17"/>
  <c r="N189" i="1" s="1"/>
  <c r="B440" i="17"/>
  <c r="B397" i="17"/>
  <c r="B64" i="17"/>
  <c r="B125" i="17"/>
  <c r="B178" i="17"/>
  <c r="B227" i="17"/>
  <c r="B331" i="17"/>
  <c r="B11" i="17"/>
  <c r="B455" i="17"/>
  <c r="B23" i="17"/>
  <c r="B85" i="17"/>
  <c r="B141" i="17"/>
  <c r="B188" i="17"/>
  <c r="B241" i="17"/>
  <c r="B293" i="17"/>
  <c r="B348" i="17"/>
  <c r="B408" i="17"/>
  <c r="B469" i="17"/>
  <c r="B36" i="17"/>
  <c r="B90" i="17"/>
  <c r="B151" i="17"/>
  <c r="B199" i="17"/>
  <c r="B306" i="17"/>
  <c r="B358" i="17"/>
  <c r="B412" i="17"/>
  <c r="B472" i="17"/>
  <c r="B39" i="17"/>
  <c r="B100" i="17"/>
  <c r="B152" i="17"/>
  <c r="B202" i="17"/>
  <c r="B258" i="17"/>
  <c r="B312" i="17"/>
  <c r="B362" i="17"/>
  <c r="B413" i="17"/>
  <c r="B476" i="17"/>
  <c r="B40" i="17"/>
  <c r="B101" i="17"/>
  <c r="B156" i="17"/>
  <c r="B203" i="17"/>
  <c r="B264" i="17"/>
  <c r="B314" i="17"/>
  <c r="B366" i="17"/>
  <c r="B395" i="17"/>
  <c r="B89" i="17"/>
  <c r="B179" i="17"/>
  <c r="B265" i="17"/>
  <c r="B430" i="17"/>
  <c r="B16" i="17"/>
  <c r="B114" i="17"/>
  <c r="B195" i="17"/>
  <c r="B279" i="17"/>
  <c r="B354" i="17"/>
  <c r="B431" i="17"/>
  <c r="B26" i="17"/>
  <c r="B198" i="17"/>
  <c r="B282" i="17"/>
  <c r="B367" i="17"/>
  <c r="B478" i="17"/>
  <c r="G4" i="3" s="1"/>
  <c r="B46" i="17"/>
  <c r="B143" i="17"/>
  <c r="B242" i="17"/>
  <c r="B350" i="17"/>
  <c r="B443" i="17"/>
  <c r="B61" i="17"/>
  <c r="B167" i="17"/>
  <c r="B276" i="17"/>
  <c r="B7" i="17"/>
  <c r="B446" i="17"/>
  <c r="B67" i="17"/>
  <c r="B168" i="17"/>
  <c r="B287" i="17"/>
  <c r="B12" i="17"/>
  <c r="B407" i="17"/>
  <c r="B162" i="17"/>
  <c r="B427" i="17"/>
  <c r="B77" i="17"/>
  <c r="B219" i="17"/>
  <c r="B339" i="17"/>
  <c r="B435" i="17"/>
  <c r="B87" i="17"/>
  <c r="B225" i="17"/>
  <c r="B342" i="17"/>
  <c r="B457" i="17"/>
  <c r="B237" i="17"/>
  <c r="B376" i="17"/>
  <c r="B477" i="17"/>
  <c r="B468" i="17"/>
  <c r="B238" i="17"/>
  <c r="B128" i="17"/>
  <c r="B254" i="17"/>
  <c r="B142" i="17"/>
  <c r="B374" i="17"/>
  <c r="B481" i="17"/>
  <c r="B181" i="17"/>
  <c r="B389" i="17"/>
  <c r="B214" i="17"/>
  <c r="B391" i="17"/>
  <c r="B233" i="17"/>
  <c r="B30" i="17"/>
  <c r="B290" i="17"/>
  <c r="B48" i="17"/>
  <c r="B303" i="17"/>
  <c r="B449" i="17"/>
  <c r="B399" i="17"/>
  <c r="B58" i="17"/>
  <c r="B71" i="17"/>
  <c r="B330" i="17"/>
  <c r="B105" i="17"/>
  <c r="B129" i="17"/>
  <c r="B213" i="17"/>
  <c r="B328" i="17"/>
  <c r="B268" i="17"/>
  <c r="B316" i="17"/>
  <c r="B317" i="17"/>
  <c r="L58" i="1" l="1"/>
  <c r="F46" i="3"/>
  <c r="K220" i="1"/>
  <c r="I100" i="3"/>
  <c r="L24" i="1"/>
  <c r="K218" i="1"/>
  <c r="K219" i="1"/>
  <c r="K217" i="1"/>
  <c r="K216" i="1"/>
  <c r="M204" i="1" a="1"/>
  <c r="M191" i="1"/>
  <c r="M192" i="1"/>
  <c r="M190" i="1"/>
  <c r="M193" i="1"/>
  <c r="M195" i="1"/>
  <c r="M194" i="1"/>
  <c r="M196" i="1"/>
  <c r="L30" i="1" a="1"/>
  <c r="M197" i="1"/>
  <c r="M198" i="1"/>
  <c r="H183" i="1"/>
  <c r="L52" i="1"/>
  <c r="L21" i="1"/>
  <c r="I38" i="12"/>
  <c r="I31" i="7"/>
  <c r="I67" i="12"/>
  <c r="I66" i="12"/>
  <c r="I81" i="12"/>
  <c r="I75" i="12"/>
  <c r="I32" i="7"/>
  <c r="I70" i="12"/>
  <c r="I69" i="12"/>
  <c r="I40" i="12"/>
  <c r="I39" i="12"/>
  <c r="H150" i="3"/>
  <c r="F77" i="3"/>
  <c r="H161" i="3"/>
  <c r="H149" i="3"/>
  <c r="F78" i="3"/>
  <c r="H151" i="3"/>
  <c r="F76" i="3"/>
  <c r="F79" i="3"/>
  <c r="P140" i="3"/>
  <c r="F80" i="3"/>
  <c r="F75" i="3"/>
  <c r="F81" i="3"/>
  <c r="F73" i="3"/>
  <c r="F71" i="3"/>
  <c r="F74" i="3"/>
  <c r="F72" i="3"/>
  <c r="F70" i="3"/>
  <c r="J29" i="12"/>
  <c r="I18" i="12"/>
  <c r="C66" i="16"/>
  <c r="C68" i="16"/>
  <c r="C17" i="16" a="1"/>
  <c r="C67" i="16"/>
  <c r="C65" i="16"/>
  <c r="G6" i="3"/>
  <c r="G10" i="3"/>
  <c r="J91" i="12"/>
  <c r="J80" i="12"/>
  <c r="G43" i="3"/>
  <c r="G19" i="3"/>
  <c r="L218" i="1"/>
  <c r="N191" i="1"/>
  <c r="G70" i="3"/>
  <c r="M130" i="1"/>
  <c r="M82" i="1"/>
  <c r="L111" i="3"/>
  <c r="J31" i="12"/>
  <c r="C56" i="16" l="1"/>
  <c r="D9" i="3" l="1"/>
  <c r="B2" i="11" s="1"/>
  <c r="D62" i="1"/>
  <c r="D13" i="3"/>
  <c r="B3" i="11" s="1"/>
  <c r="C61" i="16" l="1"/>
  <c r="C79" i="12"/>
  <c r="B1" i="4"/>
  <c r="B34" i="4"/>
  <c r="B15" i="4"/>
  <c r="B29" i="4"/>
  <c r="B44" i="4"/>
  <c r="B18" i="4"/>
  <c r="C29" i="4"/>
  <c r="B19" i="4"/>
  <c r="B30" i="4"/>
  <c r="B20" i="4"/>
  <c r="C30" i="4"/>
  <c r="B11" i="4"/>
  <c r="B43" i="4"/>
  <c r="B21" i="4"/>
  <c r="B22" i="4"/>
  <c r="C32" i="4"/>
  <c r="B25" i="4"/>
  <c r="B10" i="4"/>
  <c r="C36" i="4"/>
  <c r="C37" i="4"/>
  <c r="B14" i="4"/>
  <c r="B23" i="4"/>
  <c r="C33" i="4"/>
  <c r="B24" i="4"/>
  <c r="C34" i="4"/>
  <c r="B2" i="4"/>
  <c r="C35" i="4"/>
  <c r="B27" i="4"/>
  <c r="B28" i="4"/>
  <c r="C28" i="4"/>
  <c r="B61" i="16"/>
  <c r="B29" i="16"/>
  <c r="B11" i="16"/>
  <c r="B26" i="16"/>
  <c r="B40" i="16"/>
  <c r="B22" i="16"/>
  <c r="B37" i="16"/>
  <c r="B30" i="16"/>
  <c r="B53" i="16"/>
  <c r="B27" i="16"/>
  <c r="B52" i="16"/>
  <c r="B51" i="16"/>
  <c r="B23" i="16"/>
  <c r="B39" i="16"/>
  <c r="B21" i="16"/>
  <c r="B33" i="16"/>
  <c r="B32" i="16"/>
  <c r="B62" i="16"/>
  <c r="B64" i="16"/>
  <c r="B34" i="16"/>
  <c r="B38" i="16"/>
  <c r="B20" i="16"/>
  <c r="B17" i="16"/>
  <c r="B16" i="16"/>
  <c r="B14" i="16"/>
  <c r="B13" i="16"/>
  <c r="B12" i="16"/>
  <c r="B4" i="16"/>
  <c r="B28" i="16"/>
  <c r="C6" i="3"/>
  <c r="C29" i="3"/>
  <c r="C43" i="3"/>
  <c r="C63" i="3"/>
  <c r="C4" i="16"/>
  <c r="B41" i="16"/>
  <c r="B65" i="16"/>
  <c r="E69" i="3"/>
  <c r="D105" i="3"/>
  <c r="G139" i="3"/>
  <c r="B42" i="16"/>
  <c r="B54" i="16"/>
  <c r="B66" i="16"/>
  <c r="C7" i="3"/>
  <c r="C13" i="3"/>
  <c r="C44" i="3"/>
  <c r="C64" i="3"/>
  <c r="E105" i="3"/>
  <c r="B6" i="16"/>
  <c r="B19" i="16"/>
  <c r="B31" i="16"/>
  <c r="B67" i="16"/>
  <c r="F105" i="3"/>
  <c r="D138" i="3"/>
  <c r="H139" i="3"/>
  <c r="B7" i="16"/>
  <c r="B44" i="16"/>
  <c r="B56" i="16"/>
  <c r="B68" i="16"/>
  <c r="C8" i="3"/>
  <c r="C45" i="3"/>
  <c r="C65" i="3"/>
  <c r="B8" i="16"/>
  <c r="B45" i="16"/>
  <c r="B57" i="16"/>
  <c r="G105" i="3"/>
  <c r="N138" i="3"/>
  <c r="I139" i="3"/>
  <c r="B10" i="16"/>
  <c r="B58" i="16"/>
  <c r="C3" i="3"/>
  <c r="C9" i="3"/>
  <c r="C16" i="3"/>
  <c r="C32" i="3"/>
  <c r="C60" i="3"/>
  <c r="B47" i="16"/>
  <c r="C100" i="3"/>
  <c r="H105" i="3"/>
  <c r="O138" i="3"/>
  <c r="J139" i="3"/>
  <c r="B24" i="16"/>
  <c r="B36" i="16"/>
  <c r="B48" i="16"/>
  <c r="B60" i="16"/>
  <c r="D69" i="3"/>
  <c r="F139" i="3"/>
  <c r="C4" i="3"/>
  <c r="C33" i="3"/>
  <c r="C5" i="3"/>
  <c r="C42" i="3"/>
  <c r="B50" i="16"/>
  <c r="C10" i="3"/>
  <c r="C61" i="3"/>
  <c r="B3" i="16"/>
  <c r="H106" i="3"/>
  <c r="C11" i="3"/>
  <c r="B15" i="16"/>
  <c r="B63" i="16"/>
  <c r="C18" i="3"/>
  <c r="B25" i="16"/>
  <c r="D139" i="3"/>
  <c r="C19" i="3"/>
  <c r="E139" i="3"/>
  <c r="C2" i="16"/>
  <c r="C157" i="3"/>
  <c r="C62" i="12"/>
  <c r="B1" i="11"/>
  <c r="D59" i="1"/>
  <c r="D60" i="1"/>
  <c r="K139" i="3"/>
  <c r="C5" i="1"/>
  <c r="C21" i="1"/>
  <c r="L139" i="3"/>
  <c r="C22" i="1"/>
  <c r="C41" i="1"/>
  <c r="C75" i="1"/>
  <c r="C177" i="1"/>
  <c r="D215" i="1"/>
  <c r="C11" i="12"/>
  <c r="C45" i="12"/>
  <c r="C85" i="12"/>
  <c r="C25" i="7"/>
  <c r="C149" i="3"/>
  <c r="C33" i="1"/>
  <c r="C42" i="1"/>
  <c r="C76" i="1"/>
  <c r="J188" i="1"/>
  <c r="C68" i="12"/>
  <c r="C86" i="12"/>
  <c r="C94" i="12"/>
  <c r="C17" i="7"/>
  <c r="C26" i="7"/>
  <c r="B1" i="12"/>
  <c r="G19" i="1"/>
  <c r="C29" i="1"/>
  <c r="C66" i="1"/>
  <c r="G127" i="1"/>
  <c r="C176" i="1"/>
  <c r="J231" i="1"/>
  <c r="C10" i="12"/>
  <c r="C40" i="12"/>
  <c r="C67" i="12"/>
  <c r="C15" i="7"/>
  <c r="C144" i="3"/>
  <c r="C155" i="3"/>
  <c r="C10" i="1"/>
  <c r="D20" i="1"/>
  <c r="C30" i="1"/>
  <c r="C39" i="1"/>
  <c r="D79" i="1"/>
  <c r="J127" i="1"/>
  <c r="C163" i="1"/>
  <c r="L188" i="1"/>
  <c r="C232" i="1"/>
  <c r="C41" i="12"/>
  <c r="C5" i="7"/>
  <c r="C27" i="7"/>
  <c r="G20" i="1"/>
  <c r="C164" i="1"/>
  <c r="C182" i="1"/>
  <c r="C51" i="12"/>
  <c r="C69" i="12"/>
  <c r="C16" i="7"/>
  <c r="C145" i="3"/>
  <c r="C156" i="3"/>
  <c r="G11" i="1"/>
  <c r="C40" i="1"/>
  <c r="C68" i="1"/>
  <c r="D204" i="1"/>
  <c r="K11" i="1"/>
  <c r="C38" i="1"/>
  <c r="C57" i="1"/>
  <c r="C74" i="1"/>
  <c r="D127" i="1"/>
  <c r="D209" i="1"/>
  <c r="C235" i="1"/>
  <c r="C44" i="12"/>
  <c r="C82" i="12"/>
  <c r="C95" i="12"/>
  <c r="C12" i="1"/>
  <c r="C25" i="1"/>
  <c r="C77" i="1"/>
  <c r="K127" i="1"/>
  <c r="C170" i="1"/>
  <c r="C9" i="12"/>
  <c r="C18" i="7"/>
  <c r="C30" i="7"/>
  <c r="M139" i="3"/>
  <c r="C13" i="1"/>
  <c r="C43" i="1"/>
  <c r="C59" i="1"/>
  <c r="D188" i="1"/>
  <c r="C236" i="1"/>
  <c r="C28" i="12"/>
  <c r="C46" i="12"/>
  <c r="C70" i="12"/>
  <c r="C31" i="7"/>
  <c r="C31" i="1"/>
  <c r="G79" i="1"/>
  <c r="C204" i="1"/>
  <c r="C237" i="1"/>
  <c r="C48" i="12"/>
  <c r="C6" i="7"/>
  <c r="C146" i="3"/>
  <c r="C161" i="3"/>
  <c r="C32" i="1"/>
  <c r="C45" i="1"/>
  <c r="D61" i="1"/>
  <c r="C160" i="1"/>
  <c r="D205" i="1"/>
  <c r="G215" i="1"/>
  <c r="C238" i="1"/>
  <c r="C73" i="12"/>
  <c r="C21" i="7"/>
  <c r="C33" i="7"/>
  <c r="C34" i="1"/>
  <c r="C46" i="1"/>
  <c r="J79" i="1"/>
  <c r="D160" i="1"/>
  <c r="C175" i="1"/>
  <c r="C239" i="1"/>
  <c r="C74" i="12"/>
  <c r="J20" i="1"/>
  <c r="C35" i="1"/>
  <c r="K79" i="1"/>
  <c r="C161" i="1"/>
  <c r="D206" i="1"/>
  <c r="C38" i="12"/>
  <c r="C160" i="3"/>
  <c r="C14" i="1"/>
  <c r="C44" i="1"/>
  <c r="K188" i="1"/>
  <c r="C47" i="12"/>
  <c r="C32" i="7"/>
  <c r="K20" i="1"/>
  <c r="C183" i="1"/>
  <c r="C24" i="7"/>
  <c r="C2" i="12"/>
  <c r="C52" i="12"/>
  <c r="C92" i="12"/>
  <c r="C3" i="12"/>
  <c r="C53" i="12"/>
  <c r="C23" i="1"/>
  <c r="C93" i="12"/>
  <c r="C150" i="3"/>
  <c r="C124" i="1"/>
  <c r="C151" i="3"/>
  <c r="C36" i="1"/>
  <c r="D207" i="1"/>
  <c r="C10" i="7"/>
  <c r="D208" i="1"/>
  <c r="H11" i="7"/>
  <c r="C37" i="1"/>
  <c r="C127" i="1"/>
  <c r="C66" i="12"/>
  <c r="C12" i="7"/>
  <c r="C231" i="1"/>
  <c r="C13" i="7"/>
  <c r="C162" i="1"/>
  <c r="C39" i="12"/>
  <c r="J11" i="1"/>
  <c r="C81" i="12"/>
  <c r="C22" i="7"/>
  <c r="C169" i="1"/>
  <c r="C23" i="7"/>
  <c r="C14" i="7"/>
  <c r="C56" i="1"/>
  <c r="D21" i="1"/>
  <c r="I51" i="12" l="1"/>
  <c r="I85" i="12"/>
  <c r="I48" i="12"/>
  <c r="I44" i="12"/>
  <c r="I82" i="12"/>
  <c r="H10" i="12"/>
  <c r="C37" i="16" s="1"/>
  <c r="I22" i="7"/>
  <c r="C62" i="16" s="1"/>
  <c r="C60" i="16" s="1"/>
  <c r="I73" i="12"/>
  <c r="I58" i="12"/>
  <c r="C42" i="16" s="1"/>
  <c r="I94" i="12"/>
  <c r="I52" i="12"/>
  <c r="M189" i="1"/>
  <c r="F60" i="3"/>
  <c r="L5" i="1"/>
  <c r="C20" i="16" s="1"/>
  <c r="F65" i="3"/>
  <c r="F43" i="3"/>
  <c r="F62" i="3"/>
  <c r="F42" i="3"/>
  <c r="H156" i="3"/>
  <c r="H182" i="1"/>
  <c r="C32" i="16" s="1"/>
  <c r="F64" i="3"/>
  <c r="E170" i="1"/>
  <c r="H157" i="3"/>
  <c r="F63" i="3"/>
  <c r="F61" i="3"/>
  <c r="F33" i="3"/>
  <c r="F45" i="3"/>
  <c r="E169" i="1"/>
  <c r="L23" i="1"/>
  <c r="L22" i="1"/>
  <c r="H155" i="3"/>
  <c r="C30" i="16"/>
  <c r="C54" i="16"/>
  <c r="F10" i="3"/>
  <c r="F6" i="3" s="1"/>
  <c r="C16" i="16"/>
  <c r="F32" i="3"/>
  <c r="C13" i="16"/>
  <c r="F5" i="3"/>
  <c r="C52" i="16"/>
  <c r="C40" i="16"/>
  <c r="C63" i="16"/>
  <c r="F4" i="3"/>
  <c r="C48" i="16"/>
  <c r="F3" i="3"/>
  <c r="C44" i="16"/>
  <c r="C51" i="16"/>
  <c r="G161" i="1"/>
  <c r="C7" i="7"/>
  <c r="C14" i="12"/>
  <c r="C6" i="12"/>
  <c r="C29" i="7"/>
  <c r="C2" i="7"/>
  <c r="C35" i="12"/>
  <c r="C20" i="7"/>
  <c r="C36" i="7"/>
  <c r="C50" i="12"/>
  <c r="C31" i="4"/>
  <c r="C2" i="1"/>
  <c r="C155" i="1"/>
  <c r="C163" i="3"/>
  <c r="C64" i="1"/>
  <c r="C65" i="12"/>
  <c r="C234" i="1"/>
  <c r="C185" i="1"/>
  <c r="C242" i="1"/>
  <c r="C96" i="3"/>
  <c r="C99" i="12"/>
  <c r="C121" i="1"/>
  <c r="C9" i="7"/>
  <c r="C43" i="12"/>
  <c r="C148" i="3"/>
  <c r="C102" i="3"/>
  <c r="C84" i="12"/>
  <c r="C72" i="12"/>
  <c r="C179" i="1"/>
  <c r="C31" i="3"/>
  <c r="C172" i="1"/>
  <c r="C55" i="12"/>
  <c r="C49" i="1"/>
  <c r="C24" i="12"/>
  <c r="C67" i="3"/>
  <c r="C7" i="1"/>
  <c r="C142" i="3"/>
  <c r="C135" i="3"/>
  <c r="C71" i="1"/>
  <c r="C166" i="1"/>
  <c r="C211" i="1"/>
  <c r="C55" i="1"/>
  <c r="C159" i="3"/>
  <c r="C154" i="3"/>
  <c r="B1" i="1"/>
  <c r="A1" i="1"/>
  <c r="D57" i="12"/>
  <c r="C18" i="12"/>
  <c r="C58" i="12"/>
  <c r="C89" i="12"/>
  <c r="C77" i="12"/>
  <c r="C76" i="12"/>
  <c r="C88" i="12"/>
  <c r="C57" i="12"/>
  <c r="C17" i="12"/>
  <c r="C62" i="3"/>
  <c r="E28" i="12"/>
  <c r="D17" i="12"/>
  <c r="D9" i="12"/>
  <c r="C87" i="12"/>
  <c r="C75" i="12"/>
  <c r="C60" i="12"/>
  <c r="C20" i="12"/>
  <c r="C61" i="12"/>
  <c r="C21" i="12"/>
  <c r="C78" i="12"/>
  <c r="C90" i="12"/>
  <c r="C59" i="12"/>
  <c r="C19" i="12"/>
  <c r="C33" i="12"/>
  <c r="C22" i="12"/>
  <c r="C12" i="12"/>
  <c r="C91" i="12"/>
  <c r="C80" i="12"/>
  <c r="B49" i="16"/>
  <c r="B18" i="16"/>
  <c r="B35" i="16"/>
  <c r="B55" i="16"/>
  <c r="G16" i="1"/>
  <c r="B59" i="16"/>
  <c r="B43" i="16"/>
  <c r="B5" i="16"/>
  <c r="B46" i="16"/>
  <c r="B9" i="16"/>
  <c r="C240" i="1"/>
  <c r="C47" i="1"/>
  <c r="C24" i="1"/>
  <c r="C69" i="1"/>
  <c r="C26" i="1"/>
  <c r="C67" i="1"/>
  <c r="C58" i="1"/>
  <c r="C16" i="1"/>
  <c r="J215" i="1"/>
  <c r="G188" i="1"/>
  <c r="A1" i="3"/>
  <c r="B1" i="3"/>
  <c r="G208" i="1"/>
  <c r="J232" i="1"/>
  <c r="G207" i="1"/>
  <c r="G209" i="1"/>
  <c r="C215" i="1"/>
  <c r="C188" i="1"/>
  <c r="C79" i="1"/>
  <c r="C125" i="1"/>
  <c r="C158" i="1"/>
  <c r="C2" i="3"/>
  <c r="C105" i="3"/>
  <c r="C69" i="3"/>
  <c r="C99" i="3"/>
  <c r="C138" i="3"/>
  <c r="D46" i="12"/>
  <c r="D47" i="12" s="1"/>
  <c r="K31" i="1"/>
  <c r="K32" i="1"/>
  <c r="K33" i="1"/>
  <c r="K34" i="1"/>
  <c r="K35" i="1"/>
  <c r="K36" i="1"/>
  <c r="K37" i="1"/>
  <c r="K38" i="1"/>
  <c r="K39" i="1"/>
  <c r="K40" i="1"/>
  <c r="K41" i="1"/>
  <c r="K42" i="1"/>
  <c r="K43" i="1"/>
  <c r="K44" i="1"/>
  <c r="K30" i="1"/>
  <c r="C29" i="16" l="1"/>
  <c r="C28" i="16" s="1"/>
  <c r="C57" i="16"/>
  <c r="C47" i="16"/>
  <c r="C6" i="16"/>
  <c r="G25" i="1"/>
  <c r="J25" i="1"/>
  <c r="G231" i="1"/>
  <c r="C63" i="12"/>
  <c r="J119" i="3" l="1"/>
  <c r="J120" i="3"/>
  <c r="J121" i="3"/>
  <c r="J122" i="3"/>
  <c r="J123" i="3"/>
  <c r="J124" i="3"/>
  <c r="J125" i="3"/>
  <c r="J126" i="3"/>
  <c r="J127" i="3"/>
  <c r="J128" i="3"/>
  <c r="J129" i="3"/>
  <c r="J130" i="3"/>
  <c r="J131" i="3"/>
  <c r="J132" i="3"/>
  <c r="J133" i="3"/>
  <c r="D146" i="1"/>
  <c r="D145" i="1"/>
  <c r="D141" i="1"/>
  <c r="D129" i="1"/>
  <c r="D128" i="1"/>
  <c r="D130" i="1"/>
  <c r="D131" i="1"/>
  <c r="D132" i="1"/>
  <c r="D133" i="1"/>
  <c r="D134" i="1"/>
  <c r="D135" i="1"/>
  <c r="D136" i="1"/>
  <c r="D137" i="1"/>
  <c r="D138" i="1"/>
  <c r="D139" i="1"/>
  <c r="D140" i="1"/>
  <c r="D142" i="1"/>
  <c r="D143" i="1"/>
  <c r="D144" i="1"/>
  <c r="D147" i="1"/>
  <c r="D148" i="1"/>
  <c r="D149" i="1"/>
  <c r="D150" i="1"/>
  <c r="D151" i="1"/>
  <c r="D152" i="1"/>
  <c r="D153" i="1"/>
  <c r="K23" i="1"/>
  <c r="K24" i="1"/>
  <c r="K22" i="1"/>
  <c r="C11" i="16" l="1"/>
  <c r="C27" i="16"/>
  <c r="G205" i="1" l="1"/>
  <c r="G206" i="1"/>
  <c r="L189" i="1" l="1"/>
  <c r="D68" i="12" l="1"/>
  <c r="G45" i="1" l="1"/>
  <c r="G47" i="1" s="1"/>
  <c r="D177" i="1"/>
  <c r="D5" i="11"/>
  <c r="D6" i="11"/>
  <c r="D7" i="11"/>
  <c r="D8" i="11"/>
  <c r="D9" i="11"/>
  <c r="D10" i="11"/>
  <c r="D11" i="11"/>
  <c r="D12" i="11"/>
  <c r="D13" i="11"/>
  <c r="D14" i="11"/>
  <c r="D15" i="11"/>
  <c r="D16" i="11"/>
  <c r="D17" i="11"/>
  <c r="D18" i="11"/>
  <c r="D19" i="11"/>
  <c r="D20" i="11"/>
  <c r="D21" i="11"/>
  <c r="D22" i="11"/>
  <c r="D23" i="11"/>
  <c r="D24" i="11"/>
  <c r="D25" i="11"/>
  <c r="D26" i="11"/>
  <c r="D53" i="12" l="1"/>
  <c r="I45" i="12"/>
  <c r="C41" i="16" s="1"/>
  <c r="D41" i="12"/>
  <c r="E33" i="12"/>
  <c r="D22" i="12"/>
  <c r="H18" i="12" s="1"/>
  <c r="C38" i="16" s="1"/>
  <c r="D12" i="12"/>
  <c r="D11" i="12" s="1"/>
  <c r="F3" i="12"/>
  <c r="F2" i="12"/>
  <c r="K125" i="3"/>
  <c r="G232" i="1"/>
  <c r="I32" i="12" l="1"/>
  <c r="I31" i="12"/>
  <c r="I30" i="12"/>
  <c r="I29" i="12"/>
  <c r="H17" i="7"/>
  <c r="C39" i="16" l="1"/>
  <c r="C36" i="16" s="1"/>
  <c r="H132" i="3"/>
  <c r="I132" i="3" s="1"/>
  <c r="K133" i="3"/>
  <c r="J45" i="1" l="1"/>
  <c r="J47" i="1" s="1"/>
  <c r="D45" i="1"/>
  <c r="D46" i="1" s="1"/>
  <c r="G68" i="1" s="1"/>
  <c r="K45" i="1" l="1"/>
  <c r="G46" i="1"/>
  <c r="J46" i="1"/>
  <c r="K110" i="3"/>
  <c r="D3" i="11" s="1"/>
  <c r="K111" i="3"/>
  <c r="K112" i="3"/>
  <c r="F5" i="11" s="1"/>
  <c r="K113" i="3"/>
  <c r="E6" i="11" s="1"/>
  <c r="K114" i="3"/>
  <c r="K115" i="3"/>
  <c r="K116" i="3"/>
  <c r="K117" i="3"/>
  <c r="K118" i="3"/>
  <c r="K119" i="3"/>
  <c r="K120" i="3"/>
  <c r="K121" i="3"/>
  <c r="F14" i="11" s="1"/>
  <c r="K122" i="3"/>
  <c r="K123" i="3"/>
  <c r="K124" i="3"/>
  <c r="E17" i="11" s="1"/>
  <c r="F18" i="11"/>
  <c r="K126" i="3"/>
  <c r="F19" i="11" s="1"/>
  <c r="K127" i="3"/>
  <c r="F20" i="11" s="1"/>
  <c r="K128" i="3"/>
  <c r="K129" i="3"/>
  <c r="K130" i="3"/>
  <c r="K131" i="3"/>
  <c r="K132" i="3"/>
  <c r="K109" i="3"/>
  <c r="D2" i="11" s="1"/>
  <c r="H119" i="3"/>
  <c r="I119" i="3" s="1"/>
  <c r="H120" i="3"/>
  <c r="I120" i="3" s="1"/>
  <c r="H121" i="3"/>
  <c r="I121" i="3" s="1"/>
  <c r="H122" i="3"/>
  <c r="I122" i="3" s="1"/>
  <c r="H123" i="3"/>
  <c r="I123" i="3" s="1"/>
  <c r="H124" i="3"/>
  <c r="I124" i="3" s="1"/>
  <c r="H125" i="3"/>
  <c r="I125" i="3" s="1"/>
  <c r="H126" i="3"/>
  <c r="I126" i="3" s="1"/>
  <c r="H128" i="3"/>
  <c r="I128" i="3" s="1"/>
  <c r="H129" i="3"/>
  <c r="I129" i="3" s="1"/>
  <c r="H130" i="3"/>
  <c r="I130" i="3" s="1"/>
  <c r="H131" i="3"/>
  <c r="I131" i="3" s="1"/>
  <c r="H133" i="3"/>
  <c r="I133" i="3" s="1"/>
  <c r="D47" i="1"/>
  <c r="G69" i="1" s="1"/>
  <c r="D4" i="11" l="1"/>
  <c r="F4" i="11" s="1"/>
  <c r="K47" i="1"/>
  <c r="K46" i="1"/>
  <c r="F10" i="11"/>
  <c r="E10" i="11"/>
  <c r="E15" i="11"/>
  <c r="F15" i="11"/>
  <c r="E26" i="11"/>
  <c r="F26" i="11"/>
  <c r="F11" i="11"/>
  <c r="E11" i="11"/>
  <c r="J118" i="3" s="1"/>
  <c r="F7" i="11"/>
  <c r="E7" i="11"/>
  <c r="F25" i="11"/>
  <c r="E25" i="11"/>
  <c r="E22" i="11"/>
  <c r="F22" i="11"/>
  <c r="F24" i="11"/>
  <c r="E24" i="11"/>
  <c r="E8" i="11"/>
  <c r="F8" i="11"/>
  <c r="F13" i="11"/>
  <c r="E13" i="11"/>
  <c r="E23" i="11"/>
  <c r="F23" i="11"/>
  <c r="F21" i="11"/>
  <c r="E21" i="11"/>
  <c r="E16" i="11"/>
  <c r="F16" i="11"/>
  <c r="E12" i="11"/>
  <c r="F12" i="11"/>
  <c r="E9" i="11"/>
  <c r="F9" i="11"/>
  <c r="E14" i="11"/>
  <c r="G14" i="11" s="1"/>
  <c r="F17" i="11"/>
  <c r="G17" i="11" s="1"/>
  <c r="E20" i="11"/>
  <c r="E19" i="11"/>
  <c r="G19" i="11" s="1"/>
  <c r="E5" i="11"/>
  <c r="E18" i="11"/>
  <c r="G18" i="11" s="1"/>
  <c r="F6" i="11"/>
  <c r="G6" i="11" s="1"/>
  <c r="H113" i="3" s="1"/>
  <c r="I113" i="3" s="1"/>
  <c r="F3" i="11"/>
  <c r="E3" i="11"/>
  <c r="E2" i="11"/>
  <c r="F2" i="11"/>
  <c r="J117" i="3" l="1"/>
  <c r="J115" i="3"/>
  <c r="J114" i="3"/>
  <c r="G5" i="11"/>
  <c r="J112" i="3"/>
  <c r="J116" i="3"/>
  <c r="J113" i="3"/>
  <c r="J109" i="3"/>
  <c r="J110" i="3"/>
  <c r="E4" i="11"/>
  <c r="G20" i="11"/>
  <c r="H127" i="3" s="1"/>
  <c r="I127" i="3" s="1"/>
  <c r="G13" i="11"/>
  <c r="G24" i="11"/>
  <c r="G11" i="11"/>
  <c r="H118" i="3" s="1"/>
  <c r="I118" i="3" s="1"/>
  <c r="C26" i="16"/>
  <c r="C25" i="16" s="1"/>
  <c r="G25" i="11"/>
  <c r="G10" i="11"/>
  <c r="H117" i="3" s="1"/>
  <c r="I117" i="3" s="1"/>
  <c r="G22" i="11"/>
  <c r="G12" i="11"/>
  <c r="G16" i="11"/>
  <c r="G21" i="11"/>
  <c r="G7" i="11"/>
  <c r="H114" i="3" s="1"/>
  <c r="I114" i="3" s="1"/>
  <c r="G23" i="11"/>
  <c r="G8" i="11"/>
  <c r="H115" i="3" s="1"/>
  <c r="I115" i="3" s="1"/>
  <c r="G15" i="11"/>
  <c r="G9" i="11"/>
  <c r="H116" i="3" s="1"/>
  <c r="I116" i="3" s="1"/>
  <c r="G26" i="11"/>
  <c r="G3" i="11"/>
  <c r="G2" i="11"/>
  <c r="H109" i="3" s="1"/>
  <c r="I109" i="3" s="1"/>
  <c r="J26" i="1"/>
  <c r="G26" i="1"/>
  <c r="D26" i="1"/>
  <c r="G67" i="1" s="1"/>
  <c r="K25" i="1"/>
  <c r="D25" i="1"/>
  <c r="G66" i="1" s="1"/>
  <c r="H112" i="3" l="1"/>
  <c r="I112" i="3" s="1"/>
  <c r="K26" i="1"/>
  <c r="G4" i="11"/>
  <c r="H111" i="3" s="1"/>
  <c r="I111" i="3" s="1"/>
  <c r="J111" i="3"/>
  <c r="H110" i="3"/>
  <c r="I110" i="3" s="1"/>
  <c r="D15" i="6"/>
  <c r="D3" i="6"/>
  <c r="D4" i="6"/>
  <c r="D5" i="6"/>
  <c r="D6" i="6"/>
  <c r="D7" i="6"/>
  <c r="D8" i="6"/>
  <c r="D9" i="6"/>
  <c r="D10" i="6"/>
  <c r="D11" i="6"/>
  <c r="D12" i="6"/>
  <c r="D13" i="6"/>
  <c r="D14"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D116" i="6"/>
  <c r="D117" i="6"/>
  <c r="D118" i="6"/>
  <c r="D119" i="6"/>
  <c r="D120" i="6"/>
  <c r="D121" i="6"/>
  <c r="D122" i="6"/>
  <c r="D123" i="6"/>
  <c r="D124" i="6"/>
  <c r="D125" i="6"/>
  <c r="D126" i="6"/>
  <c r="D127" i="6"/>
  <c r="D128" i="6"/>
  <c r="D129" i="6"/>
  <c r="D130" i="6"/>
  <c r="D131" i="6"/>
  <c r="D132" i="6"/>
  <c r="D133" i="6"/>
  <c r="D134" i="6"/>
  <c r="D135" i="6"/>
  <c r="D136" i="6"/>
  <c r="D137" i="6"/>
  <c r="D138" i="6"/>
  <c r="D139" i="6"/>
  <c r="D140" i="6"/>
  <c r="D141" i="6"/>
  <c r="D142" i="6"/>
  <c r="D143" i="6"/>
  <c r="D144" i="6"/>
  <c r="D145" i="6"/>
  <c r="D146" i="6"/>
  <c r="D147" i="6"/>
  <c r="D148" i="6"/>
  <c r="D149" i="6"/>
  <c r="D150" i="6"/>
  <c r="D151" i="6"/>
  <c r="D152" i="6"/>
  <c r="D153" i="6"/>
  <c r="D154" i="6"/>
  <c r="D155" i="6"/>
  <c r="D156" i="6"/>
  <c r="D157" i="6"/>
  <c r="D158" i="6"/>
  <c r="D159" i="6"/>
  <c r="D160" i="6"/>
  <c r="D161" i="6"/>
  <c r="D162" i="6"/>
  <c r="D163" i="6"/>
  <c r="D164" i="6"/>
  <c r="D165" i="6"/>
  <c r="D166" i="6"/>
  <c r="D167" i="6"/>
  <c r="D168" i="6"/>
  <c r="D169" i="6"/>
  <c r="D170" i="6"/>
  <c r="D171" i="6"/>
  <c r="D172" i="6"/>
  <c r="D173" i="6"/>
  <c r="D174" i="6"/>
  <c r="D175" i="6"/>
  <c r="D176" i="6"/>
  <c r="D177" i="6"/>
  <c r="D178" i="6"/>
  <c r="D179" i="6"/>
  <c r="D180" i="6"/>
  <c r="D181" i="6"/>
  <c r="D182" i="6"/>
  <c r="D183" i="6"/>
  <c r="D184" i="6"/>
  <c r="D185" i="6"/>
  <c r="D186" i="6"/>
  <c r="D187" i="6"/>
  <c r="D188" i="6"/>
  <c r="D189" i="6"/>
  <c r="D190" i="6"/>
  <c r="D191" i="6"/>
  <c r="D192" i="6"/>
  <c r="D193" i="6"/>
  <c r="D194" i="6"/>
  <c r="D195" i="6"/>
  <c r="D196" i="6"/>
  <c r="D197" i="6"/>
  <c r="D198" i="6"/>
  <c r="D199" i="6"/>
  <c r="D200" i="6"/>
  <c r="D201" i="6"/>
  <c r="D202" i="6"/>
  <c r="D203" i="6"/>
  <c r="D204" i="6"/>
  <c r="D205" i="6"/>
  <c r="D206" i="6"/>
  <c r="D207" i="6"/>
  <c r="D208" i="6"/>
  <c r="D209" i="6"/>
  <c r="D210" i="6"/>
  <c r="D211" i="6"/>
  <c r="D212" i="6"/>
  <c r="D213" i="6"/>
  <c r="D214" i="6"/>
  <c r="D215" i="6"/>
  <c r="D216" i="6"/>
  <c r="D217" i="6"/>
  <c r="D218" i="6"/>
  <c r="D219" i="6"/>
  <c r="D220" i="6"/>
  <c r="D221" i="6"/>
  <c r="D222" i="6"/>
  <c r="D223" i="6"/>
  <c r="D224" i="6"/>
  <c r="D225" i="6"/>
  <c r="D226" i="6"/>
  <c r="D227" i="6"/>
  <c r="D228" i="6"/>
  <c r="D229" i="6"/>
  <c r="D230" i="6"/>
  <c r="D231" i="6"/>
  <c r="D232" i="6"/>
  <c r="D233" i="6"/>
  <c r="D234" i="6"/>
  <c r="D235" i="6"/>
  <c r="D236" i="6"/>
  <c r="D237" i="6"/>
  <c r="D238" i="6"/>
  <c r="D239" i="6"/>
  <c r="D240" i="6"/>
  <c r="D241" i="6"/>
  <c r="D242" i="6"/>
  <c r="D243" i="6"/>
  <c r="D244" i="6"/>
  <c r="D245" i="6"/>
  <c r="D246" i="6"/>
  <c r="D247" i="6"/>
  <c r="D248" i="6"/>
  <c r="D249" i="6"/>
  <c r="D250" i="6"/>
  <c r="D251" i="6"/>
  <c r="D252" i="6"/>
  <c r="D253" i="6"/>
  <c r="D254" i="6"/>
  <c r="D255" i="6"/>
  <c r="D256" i="6"/>
  <c r="D257" i="6"/>
  <c r="D258" i="6"/>
  <c r="D259" i="6"/>
  <c r="D260" i="6"/>
  <c r="D261" i="6"/>
  <c r="D262" i="6"/>
  <c r="D263" i="6"/>
  <c r="D264" i="6"/>
  <c r="D265" i="6"/>
  <c r="D266" i="6"/>
  <c r="D267" i="6"/>
  <c r="D268" i="6"/>
  <c r="D269" i="6"/>
  <c r="D270" i="6"/>
  <c r="D271" i="6"/>
  <c r="D272" i="6"/>
  <c r="D273" i="6"/>
  <c r="D274" i="6"/>
  <c r="D275" i="6"/>
  <c r="D276" i="6"/>
  <c r="D277" i="6"/>
  <c r="D278" i="6"/>
  <c r="D279" i="6"/>
  <c r="D280" i="6"/>
  <c r="D281" i="6"/>
  <c r="D282" i="6"/>
  <c r="D283" i="6"/>
  <c r="D284" i="6"/>
  <c r="D285" i="6"/>
  <c r="D286" i="6"/>
  <c r="D287" i="6"/>
  <c r="D288" i="6"/>
  <c r="D289" i="6"/>
  <c r="D290" i="6"/>
  <c r="D291" i="6"/>
  <c r="D292" i="6"/>
  <c r="D293" i="6"/>
  <c r="D294" i="6"/>
  <c r="D295" i="6"/>
  <c r="D296" i="6"/>
  <c r="D297" i="6"/>
  <c r="D298" i="6"/>
  <c r="D299" i="6"/>
  <c r="D300" i="6"/>
  <c r="D301" i="6"/>
  <c r="D302" i="6"/>
  <c r="D303" i="6"/>
  <c r="D304" i="6"/>
  <c r="D305" i="6"/>
  <c r="D306" i="6"/>
  <c r="D307" i="6"/>
  <c r="D308" i="6"/>
  <c r="D309" i="6"/>
  <c r="D310" i="6"/>
  <c r="D311" i="6"/>
  <c r="D312" i="6"/>
  <c r="D313" i="6"/>
  <c r="D314" i="6"/>
  <c r="D315" i="6"/>
  <c r="D316" i="6"/>
  <c r="D317" i="6"/>
  <c r="D318" i="6"/>
  <c r="D319" i="6"/>
  <c r="D320" i="6"/>
  <c r="D321" i="6"/>
  <c r="D322" i="6"/>
  <c r="D323" i="6"/>
  <c r="D324" i="6"/>
  <c r="D325" i="6"/>
  <c r="D326" i="6"/>
  <c r="D327" i="6"/>
  <c r="D328" i="6"/>
  <c r="D329" i="6"/>
  <c r="D330" i="6"/>
  <c r="D331" i="6"/>
  <c r="D332" i="6"/>
  <c r="D333" i="6"/>
  <c r="D334" i="6"/>
  <c r="D335" i="6"/>
  <c r="D336" i="6"/>
  <c r="D337" i="6"/>
  <c r="D338" i="6"/>
  <c r="D339" i="6"/>
  <c r="D340" i="6"/>
  <c r="D341" i="6"/>
  <c r="D342" i="6"/>
  <c r="D343" i="6"/>
  <c r="D344" i="6"/>
  <c r="D345" i="6"/>
  <c r="D346" i="6"/>
  <c r="D347" i="6"/>
  <c r="D348" i="6"/>
  <c r="D349" i="6"/>
  <c r="D350" i="6"/>
  <c r="D351" i="6"/>
  <c r="D352" i="6"/>
  <c r="D353" i="6"/>
  <c r="D354" i="6"/>
  <c r="D355" i="6"/>
  <c r="D356" i="6"/>
  <c r="D357" i="6"/>
  <c r="D358" i="6"/>
  <c r="D359" i="6"/>
  <c r="D360" i="6"/>
  <c r="D361" i="6"/>
  <c r="D362" i="6"/>
  <c r="D363" i="6"/>
  <c r="D364" i="6"/>
  <c r="D365" i="6"/>
  <c r="D366" i="6"/>
  <c r="D367" i="6"/>
  <c r="D368" i="6"/>
  <c r="D369" i="6"/>
  <c r="D370" i="6"/>
  <c r="D371" i="6"/>
  <c r="D372" i="6"/>
  <c r="D373" i="6"/>
  <c r="D374" i="6"/>
  <c r="D375" i="6"/>
  <c r="D376" i="6"/>
  <c r="D377" i="6"/>
  <c r="D378" i="6"/>
  <c r="D379" i="6"/>
  <c r="D380" i="6"/>
  <c r="D381" i="6"/>
  <c r="D382" i="6"/>
  <c r="D383" i="6"/>
  <c r="D384" i="6"/>
  <c r="D385" i="6"/>
  <c r="D386" i="6"/>
  <c r="D387" i="6"/>
  <c r="D388" i="6"/>
  <c r="D389" i="6"/>
  <c r="D390" i="6"/>
  <c r="D391" i="6"/>
  <c r="D392" i="6"/>
  <c r="D393" i="6"/>
  <c r="D394" i="6"/>
  <c r="D395" i="6"/>
  <c r="D396" i="6"/>
  <c r="D397" i="6"/>
  <c r="D398" i="6"/>
  <c r="D399" i="6"/>
  <c r="D400" i="6"/>
  <c r="D401" i="6"/>
  <c r="D402" i="6"/>
  <c r="D403" i="6"/>
  <c r="D404" i="6"/>
  <c r="D405" i="6"/>
  <c r="D406" i="6"/>
  <c r="D407" i="6"/>
  <c r="D408" i="6"/>
  <c r="D409" i="6"/>
  <c r="D410" i="6"/>
  <c r="D411" i="6"/>
  <c r="D412" i="6"/>
  <c r="D413" i="6"/>
  <c r="D414" i="6"/>
  <c r="D415" i="6"/>
  <c r="D416" i="6"/>
  <c r="D417" i="6"/>
  <c r="D418" i="6"/>
  <c r="D419" i="6"/>
  <c r="D420" i="6"/>
  <c r="D421" i="6"/>
  <c r="D422" i="6"/>
  <c r="D423" i="6"/>
  <c r="D424" i="6"/>
  <c r="D425" i="6"/>
  <c r="D426" i="6"/>
  <c r="D427" i="6"/>
  <c r="D428" i="6"/>
  <c r="D429" i="6"/>
  <c r="D430" i="6"/>
  <c r="D431" i="6"/>
  <c r="D432" i="6"/>
  <c r="D433" i="6"/>
  <c r="D434" i="6"/>
  <c r="D435" i="6"/>
  <c r="D436" i="6"/>
  <c r="D437" i="6"/>
  <c r="D438" i="6"/>
  <c r="D439" i="6"/>
  <c r="D440" i="6"/>
  <c r="D441" i="6"/>
  <c r="D442" i="6"/>
  <c r="D443" i="6"/>
  <c r="D444" i="6"/>
  <c r="D445" i="6"/>
  <c r="D446" i="6"/>
  <c r="D447" i="6"/>
  <c r="D448" i="6"/>
  <c r="D449" i="6"/>
  <c r="D450" i="6"/>
  <c r="D451" i="6"/>
  <c r="D452" i="6"/>
  <c r="D453" i="6"/>
  <c r="D454" i="6"/>
  <c r="D455" i="6"/>
  <c r="D456" i="6"/>
  <c r="D457" i="6"/>
  <c r="D458" i="6"/>
  <c r="D459" i="6"/>
  <c r="D460" i="6"/>
  <c r="D461" i="6"/>
  <c r="D462" i="6"/>
  <c r="D463" i="6"/>
  <c r="D464" i="6"/>
  <c r="D465" i="6"/>
  <c r="D466" i="6"/>
  <c r="D467" i="6"/>
  <c r="D468" i="6"/>
  <c r="D469" i="6"/>
  <c r="D470" i="6"/>
  <c r="D471" i="6"/>
  <c r="D472" i="6"/>
  <c r="D473" i="6"/>
  <c r="D474" i="6"/>
  <c r="D475" i="6"/>
  <c r="D476" i="6"/>
  <c r="D477" i="6"/>
  <c r="D478" i="6"/>
  <c r="D479" i="6"/>
  <c r="D480" i="6"/>
  <c r="D481" i="6"/>
  <c r="D482" i="6"/>
  <c r="D483" i="6"/>
  <c r="D484" i="6"/>
  <c r="D485" i="6"/>
  <c r="D486" i="6"/>
  <c r="D487" i="6"/>
  <c r="D488" i="6"/>
  <c r="D489" i="6"/>
  <c r="D490" i="6"/>
  <c r="D491" i="6"/>
  <c r="D492" i="6"/>
  <c r="D493" i="6"/>
  <c r="D494" i="6"/>
  <c r="D495" i="6"/>
  <c r="D496" i="6"/>
  <c r="D497" i="6"/>
  <c r="D498" i="6"/>
  <c r="D499" i="6"/>
  <c r="D500" i="6"/>
  <c r="D501" i="6"/>
  <c r="D502" i="6"/>
  <c r="D503" i="6"/>
  <c r="D504" i="6"/>
  <c r="D505" i="6"/>
  <c r="D506" i="6"/>
  <c r="D507" i="6"/>
  <c r="D508" i="6"/>
  <c r="D509" i="6"/>
  <c r="D510" i="6"/>
  <c r="D511" i="6"/>
  <c r="D512" i="6"/>
  <c r="D513" i="6"/>
  <c r="D514" i="6"/>
  <c r="D515" i="6"/>
  <c r="D516" i="6"/>
  <c r="D517" i="6"/>
  <c r="D518" i="6"/>
  <c r="D519" i="6"/>
  <c r="D520" i="6"/>
  <c r="D521" i="6"/>
  <c r="D522" i="6"/>
  <c r="D523" i="6"/>
  <c r="D524" i="6"/>
  <c r="D525" i="6"/>
  <c r="D526" i="6"/>
  <c r="D527" i="6"/>
  <c r="D528" i="6"/>
  <c r="D529" i="6"/>
  <c r="D530" i="6"/>
  <c r="D531" i="6"/>
  <c r="D532" i="6"/>
  <c r="D533" i="6"/>
  <c r="D534" i="6"/>
  <c r="D535" i="6"/>
  <c r="D536" i="6"/>
  <c r="D537" i="6"/>
  <c r="D538" i="6"/>
  <c r="D539" i="6"/>
  <c r="D540" i="6"/>
  <c r="D541" i="6"/>
  <c r="D542" i="6"/>
  <c r="D543" i="6"/>
  <c r="D544" i="6"/>
  <c r="D545" i="6"/>
  <c r="D546" i="6"/>
  <c r="D547" i="6"/>
  <c r="D548" i="6"/>
  <c r="D549" i="6"/>
  <c r="D550" i="6"/>
  <c r="D551" i="6"/>
  <c r="D552" i="6"/>
  <c r="D553" i="6"/>
  <c r="D554" i="6"/>
  <c r="D555" i="6"/>
  <c r="D556" i="6"/>
  <c r="D557" i="6"/>
  <c r="D558" i="6"/>
  <c r="D559" i="6"/>
  <c r="D560" i="6"/>
  <c r="D561" i="6"/>
  <c r="D562" i="6"/>
  <c r="D563" i="6"/>
  <c r="D564" i="6"/>
  <c r="D565" i="6"/>
  <c r="D566" i="6"/>
  <c r="D567" i="6"/>
  <c r="D568" i="6"/>
  <c r="D569" i="6"/>
  <c r="D570" i="6"/>
  <c r="D571" i="6"/>
  <c r="D572" i="6"/>
  <c r="D573" i="6"/>
  <c r="D574" i="6"/>
  <c r="D575" i="6"/>
  <c r="D576" i="6"/>
  <c r="D577" i="6"/>
  <c r="D578" i="6"/>
  <c r="D579" i="6"/>
  <c r="D580" i="6"/>
  <c r="D581" i="6"/>
  <c r="D582" i="6"/>
  <c r="D583" i="6"/>
  <c r="D584" i="6"/>
  <c r="D585" i="6"/>
  <c r="D586" i="6"/>
  <c r="D587" i="6"/>
  <c r="D588" i="6"/>
  <c r="D589" i="6"/>
  <c r="D590" i="6"/>
  <c r="D591" i="6"/>
  <c r="D592" i="6"/>
  <c r="D593" i="6"/>
  <c r="D594" i="6"/>
  <c r="D595" i="6"/>
  <c r="D596" i="6"/>
  <c r="D597" i="6"/>
  <c r="D598" i="6"/>
  <c r="D599" i="6"/>
  <c r="D600" i="6"/>
  <c r="D601" i="6"/>
  <c r="D602" i="6"/>
  <c r="D603" i="6"/>
  <c r="D604" i="6"/>
  <c r="D605" i="6"/>
  <c r="D606" i="6"/>
  <c r="D607" i="6"/>
  <c r="D608" i="6"/>
  <c r="D609" i="6"/>
  <c r="D610" i="6"/>
  <c r="D611" i="6"/>
  <c r="D612" i="6"/>
  <c r="D613" i="6"/>
  <c r="D614" i="6"/>
  <c r="D615" i="6"/>
  <c r="D616" i="6"/>
  <c r="D617" i="6"/>
  <c r="D618" i="6"/>
  <c r="D619" i="6"/>
  <c r="D620" i="6"/>
  <c r="D621" i="6"/>
  <c r="D622" i="6"/>
  <c r="D623" i="6"/>
  <c r="D624" i="6"/>
  <c r="D625" i="6"/>
  <c r="D626" i="6"/>
  <c r="D627" i="6"/>
  <c r="D628" i="6"/>
  <c r="D629" i="6"/>
  <c r="D630" i="6"/>
  <c r="D631" i="6"/>
  <c r="D632" i="6"/>
  <c r="D633" i="6"/>
  <c r="D634" i="6"/>
  <c r="D635" i="6"/>
  <c r="D636" i="6"/>
  <c r="D637" i="6"/>
  <c r="D638" i="6"/>
  <c r="D639" i="6"/>
  <c r="D640" i="6"/>
  <c r="D641" i="6"/>
  <c r="D642" i="6"/>
  <c r="D643" i="6"/>
  <c r="D644" i="6"/>
  <c r="D645" i="6"/>
  <c r="D646" i="6"/>
  <c r="D647" i="6"/>
  <c r="D648" i="6"/>
  <c r="D649" i="6"/>
  <c r="D650" i="6"/>
  <c r="D651" i="6"/>
  <c r="D652" i="6"/>
  <c r="D653" i="6"/>
  <c r="D654" i="6"/>
  <c r="D655" i="6"/>
  <c r="D656" i="6"/>
  <c r="D657" i="6"/>
  <c r="D658" i="6"/>
  <c r="D659" i="6"/>
  <c r="D660" i="6"/>
  <c r="D661" i="6"/>
  <c r="D662" i="6"/>
  <c r="D663" i="6"/>
  <c r="D664" i="6"/>
  <c r="D665" i="6"/>
  <c r="D666" i="6"/>
  <c r="D667" i="6"/>
  <c r="D668" i="6"/>
  <c r="D669" i="6"/>
  <c r="D670" i="6"/>
  <c r="D671" i="6"/>
  <c r="D672" i="6"/>
  <c r="D673" i="6"/>
  <c r="D674" i="6"/>
  <c r="D675" i="6"/>
  <c r="D676" i="6"/>
  <c r="D677" i="6"/>
  <c r="D678" i="6"/>
  <c r="D679" i="6"/>
  <c r="D680" i="6"/>
  <c r="D681" i="6"/>
  <c r="D682" i="6"/>
  <c r="D683" i="6"/>
  <c r="D684" i="6"/>
  <c r="D685" i="6"/>
  <c r="D686" i="6"/>
  <c r="D687" i="6"/>
  <c r="D688" i="6"/>
  <c r="D689" i="6"/>
  <c r="D690" i="6"/>
  <c r="D691" i="6"/>
  <c r="D692" i="6"/>
  <c r="D693" i="6"/>
  <c r="D694" i="6"/>
  <c r="D695" i="6"/>
  <c r="D696" i="6"/>
  <c r="D697" i="6"/>
  <c r="D698" i="6"/>
  <c r="D699" i="6"/>
  <c r="D700" i="6"/>
  <c r="D701" i="6"/>
  <c r="D702" i="6"/>
  <c r="D703" i="6"/>
  <c r="D704" i="6"/>
  <c r="D705" i="6"/>
  <c r="D706" i="6"/>
  <c r="D707" i="6"/>
  <c r="D708" i="6"/>
  <c r="D709" i="6"/>
  <c r="D710" i="6"/>
  <c r="D711" i="6"/>
  <c r="D712" i="6"/>
  <c r="D713" i="6"/>
  <c r="D714" i="6"/>
  <c r="D715" i="6"/>
  <c r="D716" i="6"/>
  <c r="D717" i="6"/>
  <c r="D718" i="6"/>
  <c r="D719" i="6"/>
  <c r="D720" i="6"/>
  <c r="D721" i="6"/>
  <c r="D722" i="6"/>
  <c r="D723" i="6"/>
  <c r="D724" i="6"/>
  <c r="D725" i="6"/>
  <c r="D726" i="6"/>
  <c r="D727" i="6"/>
  <c r="D728" i="6"/>
  <c r="D729" i="6"/>
  <c r="D730" i="6"/>
  <c r="D731" i="6"/>
  <c r="D732" i="6"/>
  <c r="D733" i="6"/>
  <c r="D734" i="6"/>
  <c r="D735" i="6"/>
  <c r="D736" i="6"/>
  <c r="D737" i="6"/>
  <c r="D738" i="6"/>
  <c r="D739" i="6"/>
  <c r="D740" i="6"/>
  <c r="D741" i="6"/>
  <c r="D742" i="6"/>
  <c r="D743" i="6"/>
  <c r="D744" i="6"/>
  <c r="D745" i="6"/>
  <c r="D746" i="6"/>
  <c r="D747" i="6"/>
  <c r="D748" i="6"/>
  <c r="D749" i="6"/>
  <c r="D750" i="6"/>
  <c r="D751" i="6"/>
  <c r="D752" i="6"/>
  <c r="D753" i="6"/>
  <c r="D754" i="6"/>
  <c r="D755" i="6"/>
  <c r="D756" i="6"/>
  <c r="D757" i="6"/>
  <c r="D758" i="6"/>
  <c r="D759" i="6"/>
  <c r="D760" i="6"/>
  <c r="D761" i="6"/>
  <c r="D762" i="6"/>
  <c r="D763" i="6"/>
  <c r="D764" i="6"/>
  <c r="D765" i="6"/>
  <c r="D766" i="6"/>
  <c r="D767" i="6"/>
  <c r="D768" i="6"/>
  <c r="D769" i="6"/>
  <c r="D770" i="6"/>
  <c r="D771" i="6"/>
  <c r="D772" i="6"/>
  <c r="D773" i="6"/>
  <c r="D774" i="6"/>
  <c r="D775" i="6"/>
  <c r="D776" i="6"/>
  <c r="D777" i="6"/>
  <c r="D778" i="6"/>
  <c r="D779" i="6"/>
  <c r="D780" i="6"/>
  <c r="D781" i="6"/>
  <c r="D782" i="6"/>
  <c r="D783" i="6"/>
  <c r="D784" i="6"/>
  <c r="D785" i="6"/>
  <c r="D786" i="6"/>
  <c r="D787" i="6"/>
  <c r="D788" i="6"/>
  <c r="D789" i="6"/>
  <c r="D790" i="6"/>
  <c r="D791" i="6"/>
  <c r="D792" i="6"/>
  <c r="D793" i="6"/>
  <c r="D794" i="6"/>
  <c r="D795" i="6"/>
  <c r="D796" i="6"/>
  <c r="D797" i="6"/>
  <c r="D798" i="6"/>
  <c r="D799" i="6"/>
  <c r="D800" i="6"/>
  <c r="D801" i="6"/>
  <c r="D802" i="6"/>
  <c r="D803" i="6"/>
  <c r="D804" i="6"/>
  <c r="D805" i="6"/>
  <c r="D806" i="6"/>
  <c r="D807" i="6"/>
  <c r="D808" i="6"/>
  <c r="D809" i="6"/>
  <c r="D810" i="6"/>
  <c r="D811" i="6"/>
  <c r="D812" i="6"/>
  <c r="D813" i="6"/>
  <c r="D814" i="6"/>
  <c r="D815" i="6"/>
  <c r="D816" i="6"/>
  <c r="D817" i="6"/>
  <c r="D818" i="6"/>
  <c r="D819" i="6"/>
  <c r="D820" i="6"/>
  <c r="D821" i="6"/>
  <c r="D822" i="6"/>
  <c r="D823" i="6"/>
  <c r="D824" i="6"/>
  <c r="D825" i="6"/>
  <c r="D826" i="6"/>
  <c r="D827" i="6"/>
  <c r="D828" i="6"/>
  <c r="D829" i="6"/>
  <c r="D830" i="6"/>
  <c r="D831" i="6"/>
  <c r="D832" i="6"/>
  <c r="D833" i="6"/>
  <c r="D834" i="6"/>
  <c r="D835" i="6"/>
  <c r="D836" i="6"/>
  <c r="D837" i="6"/>
  <c r="D838" i="6"/>
  <c r="D839" i="6"/>
  <c r="D840" i="6"/>
  <c r="D841" i="6"/>
  <c r="D842" i="6"/>
  <c r="D843" i="6"/>
  <c r="D844" i="6"/>
  <c r="D845" i="6"/>
  <c r="D846" i="6"/>
  <c r="D847" i="6"/>
  <c r="D848" i="6"/>
  <c r="D849" i="6"/>
  <c r="D850" i="6"/>
  <c r="D851" i="6"/>
  <c r="D852" i="6"/>
  <c r="D853" i="6"/>
  <c r="D854" i="6"/>
  <c r="D855" i="6"/>
  <c r="D856" i="6"/>
  <c r="D857" i="6"/>
  <c r="D858" i="6"/>
  <c r="D859" i="6"/>
  <c r="D860" i="6"/>
  <c r="D861" i="6"/>
  <c r="D862" i="6"/>
  <c r="D863" i="6"/>
  <c r="D864" i="6"/>
  <c r="D865" i="6"/>
  <c r="D866" i="6"/>
  <c r="D867" i="6"/>
  <c r="D868" i="6"/>
  <c r="D869" i="6"/>
  <c r="D870" i="6"/>
  <c r="D871" i="6"/>
  <c r="D872" i="6"/>
  <c r="D873" i="6"/>
  <c r="D874" i="6"/>
  <c r="D875" i="6"/>
  <c r="D876" i="6"/>
  <c r="D877" i="6"/>
  <c r="D878" i="6"/>
  <c r="D879" i="6"/>
  <c r="D880" i="6"/>
  <c r="D881" i="6"/>
  <c r="D882" i="6"/>
  <c r="D883" i="6"/>
  <c r="D884" i="6"/>
  <c r="D885" i="6"/>
  <c r="D886" i="6"/>
  <c r="D887" i="6"/>
  <c r="D888" i="6"/>
  <c r="D889" i="6"/>
  <c r="D890" i="6"/>
  <c r="D891" i="6"/>
  <c r="D892" i="6"/>
  <c r="D893" i="6"/>
  <c r="D894" i="6"/>
  <c r="D895" i="6"/>
  <c r="D896" i="6"/>
  <c r="D897" i="6"/>
  <c r="D898" i="6"/>
  <c r="D899" i="6"/>
  <c r="D900" i="6"/>
  <c r="D901" i="6"/>
  <c r="D902" i="6"/>
  <c r="D903" i="6"/>
  <c r="D904" i="6"/>
  <c r="D905" i="6"/>
  <c r="D906" i="6"/>
  <c r="D907" i="6"/>
  <c r="D908" i="6"/>
  <c r="D909" i="6"/>
  <c r="D910" i="6"/>
  <c r="D911" i="6"/>
  <c r="D912" i="6"/>
  <c r="D913" i="6"/>
  <c r="D914" i="6"/>
  <c r="D915" i="6"/>
  <c r="D916" i="6"/>
  <c r="D917" i="6"/>
  <c r="D918" i="6"/>
  <c r="D919" i="6"/>
  <c r="D920" i="6"/>
  <c r="D921" i="6"/>
  <c r="D922" i="6"/>
  <c r="D923" i="6"/>
  <c r="D924" i="6"/>
  <c r="D925" i="6"/>
  <c r="D926" i="6"/>
  <c r="D927" i="6"/>
  <c r="D928" i="6"/>
  <c r="D929" i="6"/>
  <c r="D930" i="6"/>
  <c r="D931" i="6"/>
  <c r="D932" i="6"/>
  <c r="D933" i="6"/>
  <c r="D934" i="6"/>
  <c r="D935" i="6"/>
  <c r="D936" i="6"/>
  <c r="D937" i="6"/>
  <c r="D938" i="6"/>
  <c r="D939" i="6"/>
  <c r="D940" i="6"/>
  <c r="D941" i="6"/>
  <c r="D942" i="6"/>
  <c r="D943" i="6"/>
  <c r="D944" i="6"/>
  <c r="D945" i="6"/>
  <c r="D946" i="6"/>
  <c r="D947" i="6"/>
  <c r="D948" i="6"/>
  <c r="D949" i="6"/>
  <c r="D950" i="6"/>
  <c r="D951" i="6"/>
  <c r="D952" i="6"/>
  <c r="D953" i="6"/>
  <c r="D954" i="6"/>
  <c r="D955" i="6"/>
  <c r="D956" i="6"/>
  <c r="D957" i="6"/>
  <c r="D958" i="6"/>
  <c r="D959" i="6"/>
  <c r="D960" i="6"/>
  <c r="D961" i="6"/>
  <c r="D962" i="6"/>
  <c r="D963" i="6"/>
  <c r="D964" i="6"/>
  <c r="D965" i="6"/>
  <c r="D966" i="6"/>
  <c r="D967" i="6"/>
  <c r="D968" i="6"/>
  <c r="D969" i="6"/>
  <c r="D970" i="6"/>
  <c r="D971" i="6"/>
  <c r="D972" i="6"/>
  <c r="D973" i="6"/>
  <c r="D974" i="6"/>
  <c r="D975" i="6"/>
  <c r="D976" i="6"/>
  <c r="D977" i="6"/>
  <c r="D978" i="6"/>
  <c r="D979" i="6"/>
  <c r="D980" i="6"/>
  <c r="D981" i="6"/>
  <c r="D982" i="6"/>
  <c r="D983" i="6"/>
  <c r="D984" i="6"/>
  <c r="D985" i="6"/>
  <c r="D986" i="6"/>
  <c r="D987" i="6"/>
  <c r="D988" i="6"/>
  <c r="D989" i="6"/>
  <c r="D990" i="6"/>
  <c r="D991" i="6"/>
  <c r="D992" i="6"/>
  <c r="D993" i="6"/>
  <c r="D994" i="6"/>
  <c r="D995" i="6"/>
  <c r="D996" i="6"/>
  <c r="D997" i="6"/>
  <c r="D998" i="6"/>
  <c r="D999" i="6"/>
  <c r="D1000" i="6"/>
  <c r="D1001" i="6"/>
  <c r="D1002" i="6"/>
  <c r="D1003" i="6"/>
  <c r="D1004" i="6"/>
  <c r="D1005" i="6"/>
  <c r="D1006" i="6"/>
  <c r="D1007" i="6"/>
  <c r="D1008" i="6"/>
  <c r="D1009" i="6"/>
  <c r="D1010" i="6"/>
  <c r="D1011" i="6"/>
  <c r="D1012" i="6"/>
  <c r="D1013" i="6"/>
  <c r="D1014" i="6"/>
  <c r="D1015" i="6"/>
  <c r="D1016" i="6"/>
  <c r="D1017" i="6"/>
  <c r="D1018" i="6"/>
  <c r="D1019" i="6"/>
  <c r="D1020" i="6"/>
  <c r="D1021" i="6"/>
  <c r="D1022" i="6"/>
  <c r="D1023" i="6"/>
  <c r="D1024" i="6"/>
  <c r="D1025" i="6"/>
  <c r="D1026" i="6"/>
  <c r="D1027" i="6"/>
  <c r="D1028" i="6"/>
  <c r="D1029" i="6"/>
  <c r="D1030" i="6"/>
  <c r="D1031" i="6"/>
  <c r="D1032" i="6"/>
  <c r="D1033" i="6"/>
  <c r="D1034" i="6"/>
  <c r="D1035" i="6"/>
  <c r="D1036" i="6"/>
  <c r="D1037" i="6"/>
  <c r="D1038" i="6"/>
  <c r="D1039" i="6"/>
  <c r="D1040" i="6"/>
  <c r="D1041" i="6"/>
  <c r="D1042" i="6"/>
  <c r="D1043" i="6"/>
  <c r="D1044" i="6"/>
  <c r="D1045" i="6"/>
  <c r="D1046" i="6"/>
  <c r="D1047" i="6"/>
  <c r="D1048" i="6"/>
  <c r="D1049" i="6"/>
  <c r="D56" i="1" l="1"/>
  <c r="L57" i="1" s="1"/>
  <c r="C53" i="16" s="1"/>
  <c r="C50" i="16" s="1"/>
  <c r="C14" i="16"/>
  <c r="K14" i="1" l="1"/>
  <c r="L12" i="1" l="1" a="1"/>
  <c r="C12" i="16"/>
  <c r="C10" i="16" s="1"/>
  <c r="L190" i="1" l="1"/>
  <c r="J204" i="1" s="1"/>
  <c r="L191" i="1"/>
  <c r="L192" i="1"/>
  <c r="L193" i="1"/>
  <c r="L194" i="1"/>
  <c r="J208" i="1" s="1"/>
  <c r="L195" i="1"/>
  <c r="J207" i="1" s="1"/>
  <c r="L196" i="1"/>
  <c r="L197" i="1"/>
  <c r="L198" i="1"/>
  <c r="L199" i="1"/>
  <c r="L200" i="1"/>
  <c r="L201" i="1"/>
  <c r="L202" i="1"/>
  <c r="L203" i="1"/>
  <c r="J205" i="1" l="1"/>
  <c r="J209" i="1"/>
  <c r="J206" i="1" l="1"/>
  <c r="K12" i="1"/>
  <c r="H27" i="7" l="1"/>
  <c r="I27" i="7" s="1"/>
  <c r="K13" i="1" l="1"/>
  <c r="C34" i="16" l="1"/>
  <c r="C7" i="16"/>
  <c r="G3" i="6" l="1"/>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 i="6"/>
  <c r="D2" i="6" l="1"/>
  <c r="I87" i="12" l="1"/>
  <c r="C58" i="16" s="1"/>
  <c r="C15" i="16" s="1"/>
  <c r="M204" i="1"/>
  <c r="L78" i="1"/>
  <c r="L75" i="1"/>
  <c r="L30" i="1"/>
  <c r="L12" i="1"/>
  <c r="C17" i="16"/>
  <c r="B3" i="4"/>
  <c r="C33" i="16" l="1"/>
  <c r="C31" i="16" s="1"/>
  <c r="C24" i="16" s="1"/>
  <c r="C22" i="16" s="1"/>
  <c r="C23" i="16" s="1"/>
  <c r="C21" i="16" s="1"/>
  <c r="C19" i="16" s="1"/>
  <c r="C3" i="16" s="1" a="1"/>
  <c r="C3" i="1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<sst xmlns="http://schemas.openxmlformats.org/spreadsheetml/2006/main" count="7769" uniqueCount="7501">
  <si>
    <t>1.1.0</t>
  </si>
  <si>
    <t>https://xbrl.efrag.org/taxonomy/vsme/2025-07-30/vsme-all.xsd</t>
  </si>
  <si>
    <t>English - Official [en]</t>
  </si>
  <si>
    <t>Validation OK</t>
  </si>
  <si>
    <t>[+]</t>
  </si>
  <si>
    <t>Exotec SAS</t>
  </si>
  <si>
    <t>EU ID</t>
  </si>
  <si>
    <t>FR5910.812878742</t>
  </si>
  <si>
    <t>EUR</t>
  </si>
  <si>
    <t>Ending day</t>
  </si>
  <si>
    <t>24(a)</t>
  </si>
  <si>
    <t>N/A</t>
  </si>
  <si>
    <t>Option B (Basic Module and Comprehensive Module)</t>
  </si>
  <si>
    <t>24(b)</t>
  </si>
  <si>
    <t>None</t>
  </si>
  <si>
    <t>24(c)</t>
  </si>
  <si>
    <t>Sustainability report prepared on a consolidated basis</t>
  </si>
  <si>
    <t>24(e)(i)</t>
  </si>
  <si>
    <t>private limited liability undertaking</t>
  </si>
  <si>
    <t>24(e)(ii)</t>
  </si>
  <si>
    <t>5-6</t>
  </si>
  <si>
    <t>NACE C - 33.20 Installation of industrial machinery and equipment</t>
  </si>
  <si>
    <t>NACE C - 28.22 Manufacture of lifting and handling equipment</t>
  </si>
  <si>
    <t>24(e)(iii)</t>
  </si>
  <si>
    <t>24(e)(iv)</t>
  </si>
  <si>
    <t>24(e)(v)</t>
  </si>
  <si>
    <t>7-8</t>
  </si>
  <si>
    <t>At the end of the reporting period</t>
  </si>
  <si>
    <t>Headcount</t>
  </si>
  <si>
    <t>24(e)(vi)</t>
  </si>
  <si>
    <t>9-12</t>
  </si>
  <si>
    <t>France</t>
  </si>
  <si>
    <t>24(d)</t>
  </si>
  <si>
    <t>Exotec France</t>
  </si>
  <si>
    <t>1 avenue du Molinel – 59290 Wasquehal</t>
  </si>
  <si>
    <t>Exotec Product Holding</t>
  </si>
  <si>
    <t>Exotec Product France</t>
  </si>
  <si>
    <t>Exotec Deutschland GmbH</t>
  </si>
  <si>
    <t>LabCampus 48, 85356 München-Flughafen</t>
  </si>
  <si>
    <t>Exotec Logistics UK</t>
  </si>
  <si>
    <t>8th Floor South 11 Old Jewry, London, United Kingdom EC2R 8DU</t>
  </si>
  <si>
    <t>Exotec Netherlands B.V</t>
  </si>
  <si>
    <t>Rhijnspoorplein 10, Sarphati Plaza, 1018TX Amsterdam</t>
  </si>
  <si>
    <t>Exotec Italia S.R.L.</t>
  </si>
  <si>
    <t>Corso Giacomo Matteotti 1, 20121, Milano</t>
  </si>
  <si>
    <t>Exotec Nihon Co., Ltd</t>
  </si>
  <si>
    <t>Shinagawa Intercity Tower A 18F, 2-15-1 Konan, Minato-ku, Tokyo</t>
  </si>
  <si>
    <t>Exotec Product Japan</t>
  </si>
  <si>
    <t xml:space="preserve">Shinagawa Intercity Tower A 18F, 2-15-1 Konan, Minato-ku, Tokyo </t>
  </si>
  <si>
    <t>Exotec North America Inc.</t>
  </si>
  <si>
    <t>1741 Peachtree Street N.E., Atlanta, GA, 30309</t>
  </si>
  <si>
    <t>Exotec Product USA Inc.</t>
  </si>
  <si>
    <t>200 Ottley Drive NE, Suite 400, 30324 Atlanta, Georgia</t>
  </si>
  <si>
    <t>Exotec Korea Ltd</t>
  </si>
  <si>
    <t xml:space="preserve">143 Magokjungang-ro, Gangseo-gu, Seoul, </t>
  </si>
  <si>
    <t>Exotec has an approved near-term science-based target, validated by the SBTi. Exotec has been granted a "Committed badge" by Ecovadis (score 45/100 in 2025).</t>
  </si>
  <si>
    <t>24(e)(vii)</t>
  </si>
  <si>
    <t xml:space="preserve"> 9-12</t>
  </si>
  <si>
    <r>
      <rPr>
        <b/>
        <u/>
        <sz val="11"/>
        <color rgb="FF0070C0"/>
        <rFont val="Aptos Narrow"/>
        <family val="2"/>
        <scheme val="minor"/>
      </rPr>
      <t xml:space="preserve">Nominatim Usage Policy (Geocoding Policy)
</t>
    </r>
    <r>
      <rPr>
        <sz val="11"/>
        <color theme="1"/>
        <rFont val="Aptos Narrow"/>
        <family val="2"/>
        <scheme val="minor"/>
      </rPr>
      <t xml:space="preserve">
</t>
    </r>
    <r>
      <rPr>
        <b/>
        <u/>
        <sz val="11"/>
        <color rgb="FF0070C0"/>
        <rFont val="Aptos Narrow"/>
        <family val="2"/>
        <scheme val="minor"/>
      </rPr>
      <t>Privacy Policy</t>
    </r>
  </si>
  <si>
    <t>1 avenue du Molinel</t>
  </si>
  <si>
    <t>59290</t>
  </si>
  <si>
    <t>Wasquehal</t>
  </si>
  <si>
    <t>13 - 15, Rue Louis Braille</t>
  </si>
  <si>
    <t>59370</t>
  </si>
  <si>
    <t>Mons en Baroeul</t>
  </si>
  <si>
    <t>LabCampus 48</t>
  </si>
  <si>
    <t>85356</t>
  </si>
  <si>
    <t>Munich</t>
  </si>
  <si>
    <t>Germany</t>
  </si>
  <si>
    <t>8th Floor South, 11 Old Jewry</t>
  </si>
  <si>
    <t>EC2R 8DU</t>
  </si>
  <si>
    <t>London</t>
  </si>
  <si>
    <t>United Kingdom of Great Britain and Northern Ireland</t>
  </si>
  <si>
    <t>Rhijnspoorplein 10, Sarphati Plaza</t>
  </si>
  <si>
    <t>1018 TX</t>
  </si>
  <si>
    <t>Amsterdam</t>
  </si>
  <si>
    <t>Netherlands</t>
  </si>
  <si>
    <t>Corso Giacomo Matteotti 1</t>
  </si>
  <si>
    <t>20121</t>
  </si>
  <si>
    <t>Milan</t>
  </si>
  <si>
    <t>Italy</t>
  </si>
  <si>
    <t>Shinagawa Intercity Tower A 18F, 2-15-1 Konan, Minato-ku</t>
  </si>
  <si>
    <t>108-6018</t>
  </si>
  <si>
    <t>Tokyo</t>
  </si>
  <si>
    <t>Japan</t>
  </si>
  <si>
    <t>1741 Peachtree Street N.E.</t>
  </si>
  <si>
    <t>30309</t>
  </si>
  <si>
    <t>Atlanta</t>
  </si>
  <si>
    <t>United States of America</t>
  </si>
  <si>
    <t>200 Ottley Drive NE, Suite 400</t>
  </si>
  <si>
    <t>30324</t>
  </si>
  <si>
    <t>143 Magokjungang-ro, Gangseo-gu</t>
  </si>
  <si>
    <t>07795</t>
  </si>
  <si>
    <t>Seoul</t>
  </si>
  <si>
    <t>Korea (the Republic of)</t>
  </si>
  <si>
    <t>26-28</t>
  </si>
  <si>
    <t>14-16</t>
  </si>
  <si>
    <t>Near-terme science-based target</t>
  </si>
  <si>
    <t>Head of ESG, reporting to the CEO</t>
  </si>
  <si>
    <t>47(a)</t>
  </si>
  <si>
    <t>Exotec operates in the sector of "Electrical Equipment and Machinery". Exotec design, manufacture, deploy and maintain Material Handling equipments that automate warehouses, more specifically Automated Storage and Retrieval System (ASRS). Exotec offers a range of automated solutions designed to optimize warehouse storage, retrieval, and order fulfillment. Below is an overview of the main products:
1. Skypod System (Core Automated Storage &amp; Retrieval System - AS/RS)
Description: A fleet of autonomous mobile robots (Skypods) that retrieve totes from high-density racking and deliver them to workstations.
Key Features:
Can scale vertically up to 12 meters (39 feet).
High-speed movement (4 m/s) and efficient navigation.
Goods-to-person (G2P) fulfillment model for increased picking efficiency.
Use Cases: Ideal for e-commerce, retail, and 3PLs handling high-order volumes.
2. Skypicker (Robotic Picking Arm)
Description: A robotic arm that automates item picking from totes to streamline order preparation.
Key Features:
AI-driven item recognition and gripping technology.
Seamless integration with the Skypod System.
Reduces reliance on manual labor.
Use Cases: High-throughput fulfillment centers looking to increase automation in picking processes.
3. Deepsky (Warehouse Execution Software - WES)
Description: The centralized intelligence that orchestrates robot movements, inventory flow, and order processing.
Key Features:
Real-time data analytics and warehouse optimization.
Seamless integration with WMS and ERP systems.
Provides predictive maintenance insights.
Use Cases: Companies seeking full automation control and operational visibility.
4. Skypath (Conveyor System)
Description: A modular conveyor solution that optimizes item transportation within warehouses.
Key Features:
High-speed tote and parcel transport.
Integrates with Skypod robots and picking stations.
Customizable to fit different warehouse layouts.
Use Cases: Facilities with high throughput requirements needing smooth material flow.
5. Skystore (Automated Buffering &amp; Sorting)
Description: A dynamic storage and sequencing system for sorting and staging orders before shipping.
Key Features:
Optimized inventory buffering for just-in-time (JIT) order consolidation.
Reduces the need for manual sorting and staging areas.
Use Cases: Warehouses handling large SKU assortments and batch picking operations.
6. Customer Support &amp; Maintenance Services
Description: Exotec provides after-sales support, predictive maintenance, and on-site services.
Key Features:
Remote monitoring and real-time diagnostics.
Spare parts and technical assistance.
System upgrades and software optimizations.
Use Cases: Businesses looking for long-term reliability and system performance assurance.
These products work together to create highly flexible, scalable, and efficient warehouse automation solutions for industries like e-commerce, retail, manufacturing, and third-party logistics (3PL).</t>
  </si>
  <si>
    <t>47(b)</t>
  </si>
  <si>
    <t>B2B ; Exotec is headquartered in Wasquehal, France and operates in the following markets: Western Europe, Central Europe, North America (USA, Canada) and APAC (Japan, Korea).</t>
  </si>
  <si>
    <t>47(c)</t>
  </si>
  <si>
    <t xml:space="preserve">Upsrteam, Exotec relies on a network of suppliers (Europe, Asia, NA) to purchase the components (steel, plastic, electronics, motor, battery) needed to the assembly of its products. Downstream, Exotec sells its products and services whether to integrators (intermediate) or directy to corporate customers. </t>
  </si>
  <si>
    <t>47(d)</t>
  </si>
  <si>
    <t>As a designer and manufacturer of material handling equipment, the environmental
performance of Exotec relies on addressing the five sustainability dimensions of its key
products, like the automated storage and retrieval system (ASRS) Skypod and the plug-andplay automated conveyor system Skypath:
- Carbon sufficiency: Exotec shall minimize its products’ carbon footprint to contribute to
the mitigation of global warming
- Energy sufficiency: Exotec shall optimize the energy use of its products, targeting both
sustainability benefits and customers’ cost saving.
- Space sufficiency: Exotec shall offer a dense &amp; high ASRS to minimize the need for
greenfield expansions and have a positive impact on land use and biodiversity.
- Durability: Exotec shall design robust products and extend efficiently their lifespan
- Circularity: Exotec shall ensure the best end-of-life management of its products, by
design
Therefore, Exotec’s environmental efforts are focused on the eco-design of its products and
ultimately aim to implement a “design-to-CO2” across the development lifecycle of its products.
Eoc-design is embedded into Exotec’s Quality Management
System, ensuring that environmental
sustainability is prioritized in the design phase of new products and in the upgrade of current
products. 
The environmental study of Exotec’s Skypod order‑picking automation system shows clear ecological benefits. Compared with manual operations at equal productivity, automation reduces climate impact, lowers energy resource consumption, and uses less warehouse floor space. Overall, warehouse automation offers notable environmental advantages.</t>
  </si>
  <si>
    <t>18-25</t>
  </si>
  <si>
    <t>54(b)</t>
  </si>
  <si>
    <t>54(a)</t>
  </si>
  <si>
    <t xml:space="preserve">54(d) </t>
  </si>
  <si>
    <t>26-45</t>
  </si>
  <si>
    <t>152-158</t>
  </si>
  <si>
    <t>50-53</t>
  </si>
  <si>
    <t>150-151</t>
  </si>
  <si>
    <t xml:space="preserve"> -   </t>
  </si>
  <si>
    <t>0,00</t>
  </si>
  <si>
    <t>54(e)</t>
  </si>
  <si>
    <t>We are rolling out a decarbonation plan of the company based on the ecodesign and decarbonation of our key product (the Skypod system) along its lifecycle (material acq and pre-processing, transport and distribution, use, end of life). Main goal is to reduce the cradle-to-customer's gate carbon footprint of our key product (the Skypod system) by 66% between 2023 and 2030 by reducing its weight and switching to more sustainable materials (recycled plastic or wood/cardboard for our bins and green steel for our racks). Besides we also want to tackle the use phase of our products by implementing sleep modes.</t>
  </si>
  <si>
    <t>160-163</t>
  </si>
  <si>
    <t>A transition plan has already been adopted</t>
  </si>
  <si>
    <t xml:space="preserve">Exotec has adopted a transition plan for climate change mitigation built on two pillars. First, the company has committed to Science-Based Targets (SBTi), aligning its emissions reduction trajectory with a 1.5°C pathway. Second, Exotec contributes to the decarbonization of the logistics sector : it has been demonstrated that warehouse automation via Skypod reduces GHG emissions , cuts energy consumption, and decreases the overall carbon footprint compared to equivalent manual operations. By enabling customers to build smaller, more energy-efficient warehouses, Exotec's technology embeds climate impact reduction into its business model.
</t>
  </si>
  <si>
    <t>46-69</t>
  </si>
  <si>
    <t>70-73</t>
  </si>
  <si>
    <t>74-76</t>
  </si>
  <si>
    <t>91-93</t>
  </si>
  <si>
    <t>77-90</t>
  </si>
  <si>
    <t>YES</t>
  </si>
  <si>
    <t>Exotec ensures  a long lifespan to its products and systems. Reducing mass of products, sourcing recycled material and ensuring recyclability shall be a prioritized concern in the design of its products. In the development of new products and improvement of existing products, the choice of materials shall be critically assessed based on functionality, lifespan, carbon footprint, and recyclability. Exotec shall develop robust and reliable products, designed to last, and extend efficiently their lifespan by ensuring that they are easily repairable. Beyond aiming for robust and repairable products that last, Exotec shall extend the lifespan of its products, their components and the materials from which they are manufactured. By design, Exotec will ensure that reusability and recyclability are clear consideration for the end-of-life stage of its product lifecycle development, in order to prevent unnecessary waste.</t>
  </si>
  <si>
    <t>38(a) and 38(b)</t>
  </si>
  <si>
    <t>95-107</t>
  </si>
  <si>
    <t xml:space="preserve">    20 01 39 - Non-Hazardous - Plastics</t>
  </si>
  <si>
    <t>metric tonnes (t)</t>
  </si>
  <si>
    <t xml:space="preserve">    16 02 14 - Non-Hazardous - Discarded equipment other than those mentioned in 16 02 09 to 16 02 13</t>
  </si>
  <si>
    <t xml:space="preserve">    15 01 01 - Non-Hazardous - Paper and cardboard packaging</t>
  </si>
  <si>
    <t xml:space="preserve">    15 01 02 - Non-Hazardous - Plastic packaging</t>
  </si>
  <si>
    <t xml:space="preserve">    20 03 01 - Non-Hazardous - Mixed municipal waste</t>
  </si>
  <si>
    <t xml:space="preserve">    17 04 07 - Non-Hazardous - Mixed metals</t>
  </si>
  <si>
    <t xml:space="preserve">    20 01 02 - Non-Hazardous - Glass</t>
  </si>
  <si>
    <t xml:space="preserve">    15 01 03 - Non-Hazardous - Wooden packaging</t>
  </si>
  <si>
    <t xml:space="preserve">    20 01 40 - Non-Hazardous - Metals</t>
  </si>
  <si>
    <t xml:space="preserve">    20 01 34 - Non-Hazardous - Batteries and accumulators other than those mentioned in 20 01 33</t>
  </si>
  <si>
    <t>38(c)</t>
  </si>
  <si>
    <t>108-109</t>
  </si>
  <si>
    <t>Cardboard</t>
  </si>
  <si>
    <t>kilograms (kg)</t>
  </si>
  <si>
    <t>Electronics</t>
  </si>
  <si>
    <t>Plastic</t>
  </si>
  <si>
    <t>Steel</t>
  </si>
  <si>
    <t>Other</t>
  </si>
  <si>
    <t>57(a)</t>
  </si>
  <si>
    <t>164-166</t>
  </si>
  <si>
    <t>57(b)</t>
  </si>
  <si>
    <t>57(c)</t>
  </si>
  <si>
    <t>57(d)</t>
  </si>
  <si>
    <t>39(a)</t>
  </si>
  <si>
    <t>110-117</t>
  </si>
  <si>
    <t>39(b)</t>
  </si>
  <si>
    <t>39(c)</t>
  </si>
  <si>
    <t>Austria</t>
  </si>
  <si>
    <t>Netherlands (Kingdom of the)</t>
  </si>
  <si>
    <t>Switzerland</t>
  </si>
  <si>
    <t>41(a)</t>
  </si>
  <si>
    <t>119-126</t>
  </si>
  <si>
    <t>41(b)</t>
  </si>
  <si>
    <t>42(a)</t>
  </si>
  <si>
    <t>127-128</t>
  </si>
  <si>
    <t>42(c)</t>
  </si>
  <si>
    <t>137-140</t>
  </si>
  <si>
    <t>42(d)</t>
  </si>
  <si>
    <t>167-169</t>
  </si>
  <si>
    <t>170-172</t>
  </si>
  <si>
    <t>61(a)</t>
  </si>
  <si>
    <t>61(b)</t>
  </si>
  <si>
    <t>Whistleblowing Platform, DEI, Anti-bribery &amp; Corruption, How to handle Gifts &amp; Invitations, Personal Expenses &amp; Travel, Conflict of Interests, Fraud, Competition, Sanctions &amp; Export Control, Confidentiality, Protection of Information Systems, Privacy, Environment, External Communication</t>
  </si>
  <si>
    <t>61(c)</t>
  </si>
  <si>
    <t>NO</t>
  </si>
  <si>
    <t>62(a)</t>
  </si>
  <si>
    <t>62(b)</t>
  </si>
  <si>
    <t>62(c)</t>
  </si>
  <si>
    <t>Paragraph Reference</t>
  </si>
  <si>
    <t>Paragraph Guidance Reference</t>
  </si>
  <si>
    <t>141-144</t>
  </si>
  <si>
    <t>63(a)</t>
  </si>
  <si>
    <t>175-176</t>
  </si>
  <si>
    <t>63(b)</t>
  </si>
  <si>
    <t>63(c)</t>
  </si>
  <si>
    <t>63(d)</t>
  </si>
  <si>
    <t>177(a)</t>
  </si>
  <si>
    <t>177(b)</t>
  </si>
  <si>
    <t>177(c)</t>
  </si>
  <si>
    <t>177(d)</t>
  </si>
  <si>
    <t>178-180</t>
  </si>
  <si>
    <t>State of matter</t>
  </si>
  <si>
    <t>Unit of measurement</t>
  </si>
  <si>
    <t>Amount</t>
  </si>
  <si>
    <t>Non-renewable</t>
  </si>
  <si>
    <t>Renewable</t>
  </si>
  <si>
    <t>MIT License</t>
  </si>
  <si>
    <t>Copyright (c) 2025 EFRAG</t>
  </si>
  <si>
    <t>Permission is hereby granted, free of charge, to any person obtaining a copy</t>
  </si>
  <si>
    <t>of this software and associated documentation files (the "Software"), to deal</t>
  </si>
  <si>
    <t>in the Software without restriction, including without limitation the rights</t>
  </si>
  <si>
    <t>to use, copy, modify, merge, publish, distribute, sublicense, and/or sell</t>
  </si>
  <si>
    <t>copies of the Software, and to permit persons to whom the Software is</t>
  </si>
  <si>
    <t>furnished to do so, subject to the following conditions:</t>
  </si>
  <si>
    <t>The above copyright notice and this permission notice shall be included in all</t>
  </si>
  <si>
    <t>copies or substantial portions of the Software.</t>
  </si>
  <si>
    <t>THE SOFTWARE IS PROVIDED "AS IS", WITHOUT WARRANTY OF ANY KIND, EXPRESS OR</t>
  </si>
  <si>
    <t>IMPLIED, INCLUDING BUT NOT LIMITED TO THE WARRANTIES OF MERCHANTABILITY,</t>
  </si>
  <si>
    <t>FITNESS FOR A PARTICULAR PURPOSE AND NONINFRINGEMENT. IN NO EVENT SHALL THE</t>
  </si>
  <si>
    <t>AUTHORS OR COPYRIGHT HOLDERS BE LIABLE FOR ANY CLAIM, DAMAGES OR OTHER</t>
  </si>
  <si>
    <t>LIABILITY, WHETHER IN AN ACTION OF CONTRACT, TORT OR OTHERWISE, ARISING FROM,</t>
  </si>
  <si>
    <t>OUT OF OR IN CONNECTION WITH THE SOFTWARE OR THE USE OR OTHER DEALINGS IN THE</t>
  </si>
  <si>
    <t>SOFTWARE.</t>
  </si>
  <si>
    <r>
      <t>NACE Code List</t>
    </r>
    <r>
      <rPr>
        <sz val="11"/>
        <rFont val="Calibri"/>
        <family val="2"/>
      </rPr>
      <t xml:space="preserve"> (Commission Delegated Regulation (EU) 2023/137 of 10 October 2022 amending Regulation (EC) No 1893/2006 of the European Parliament and of the Council establishing the statistical classification of economic activities NACE Revision 2 (Text with EEA relevance) C/2022/7104)</t>
    </r>
  </si>
  <si>
    <t>Technical Name</t>
  </si>
  <si>
    <t>NACE categories</t>
  </si>
  <si>
    <t>NACE Technical Name</t>
  </si>
  <si>
    <t>Country List</t>
  </si>
  <si>
    <t>CountryAxis</t>
  </si>
  <si>
    <t>Axis</t>
  </si>
  <si>
    <t>List of omitted disclosures (with None)</t>
  </si>
  <si>
    <r>
      <t>Pollutants</t>
    </r>
    <r>
      <rPr>
        <sz val="11"/>
        <color theme="1"/>
        <rFont val="Aptos Narrow"/>
        <family val="2"/>
        <scheme val="minor"/>
      </rPr>
      <t xml:space="preserve"> (Regulation (EU) 2024/1244 of the European Parliament and of the Council of 24 April 2024 on reporting of environmental data from industrial installations, establishing an Industrial Emissions Portal and repealing Regulation (EC) No 166/2006)</t>
    </r>
  </si>
  <si>
    <t>Location biodiversity areas</t>
  </si>
  <si>
    <r>
      <t xml:space="preserve">Types of  Wastes </t>
    </r>
    <r>
      <rPr>
        <sz val="11"/>
        <color theme="1"/>
        <rFont val="Aptos Narrow"/>
        <family val="2"/>
        <scheme val="minor"/>
      </rPr>
      <t>((Commission decision of 18 December 2014 
amending Decision 2000/532/EC on the list of waste pursuant to Directive 2008/98/EC of 
the European Parliament and of the Council)</t>
    </r>
  </si>
  <si>
    <t>Undertakings Legal Forms</t>
  </si>
  <si>
    <t>Medium of release</t>
  </si>
  <si>
    <t>Sustainability ussues addressed</t>
  </si>
  <si>
    <t>Hectares or meters squared</t>
  </si>
  <si>
    <t>YES or NO</t>
  </si>
  <si>
    <t>B2</t>
  </si>
  <si>
    <t>Year</t>
  </si>
  <si>
    <t>Month</t>
  </si>
  <si>
    <t>Implementation status</t>
  </si>
  <si>
    <t xml:space="preserve">List of omitted disclosures </t>
  </si>
  <si>
    <t>Month number</t>
  </si>
  <si>
    <t>Unit of measurement (mass only)</t>
  </si>
  <si>
    <t>Waste categories (for validation only)</t>
  </si>
  <si>
    <r>
      <t xml:space="preserve">List of currencies  </t>
    </r>
    <r>
      <rPr>
        <sz val="11"/>
        <color theme="1"/>
        <rFont val="Aptos Narrow"/>
        <family val="2"/>
        <scheme val="minor"/>
      </rPr>
      <t>(ISO 4217)</t>
    </r>
  </si>
  <si>
    <t>Employee methodologies</t>
  </si>
  <si>
    <t>Days</t>
  </si>
  <si>
    <t>Identifier (context identifier scheme)</t>
  </si>
  <si>
    <t>All Economic Activities (NACE) / NA [member]</t>
  </si>
  <si>
    <t>NACE_AllEconomicActivitiesNAMembeB1r</t>
  </si>
  <si>
    <t>NACE A - 01 Crop and animal production, hunting and related service activities</t>
  </si>
  <si>
    <t>Andorra</t>
  </si>
  <si>
    <t>country:AD</t>
  </si>
  <si>
    <t>Alachlor</t>
  </si>
  <si>
    <t>Located in biodiversity sensitive areas</t>
  </si>
  <si>
    <t>01 - WASTES RESULTING FROM EXPLORATION, MINING, QUARRYING, AND PHYSICAL AND CHEMICAL TREATMENT OF MINERALS</t>
  </si>
  <si>
    <t>Water</t>
  </si>
  <si>
    <t>Climate change</t>
  </si>
  <si>
    <t>hectares (ha)</t>
  </si>
  <si>
    <t>Practice</t>
  </si>
  <si>
    <t>Adoption of a transition plan is planned in the future</t>
  </si>
  <si>
    <t>B1 – Basis for preparation</t>
  </si>
  <si>
    <t>January</t>
  </si>
  <si>
    <t>01 WASTES RESULTING FROM EXPLORATION, MINING, DRESSING AND FURTHER TREATMENT OF MINERALS AND QUARRY</t>
  </si>
  <si>
    <t>AED</t>
  </si>
  <si>
    <t>LEI</t>
  </si>
  <si>
    <t>A - AGRICULTURE, FORESTRY AND FISHING</t>
  </si>
  <si>
    <t>NACE_A</t>
  </si>
  <si>
    <t>NACE A - 01.1 Growing of non-perennial crops</t>
  </si>
  <si>
    <t>United Arab Emirates</t>
  </si>
  <si>
    <t>country:AE</t>
  </si>
  <si>
    <t>Aldrin</t>
  </si>
  <si>
    <t>Located near biodiversity sesnistive areas</t>
  </si>
  <si>
    <t xml:space="preserve">  01 01 - Wastes from mineral excavation</t>
  </si>
  <si>
    <t>sole proprietorship</t>
  </si>
  <si>
    <t>Air</t>
  </si>
  <si>
    <t>Pollution</t>
  </si>
  <si>
    <r>
      <t>squared meters (m2</t>
    </r>
    <r>
      <rPr>
        <sz val="11"/>
        <color theme="1"/>
        <rFont val="Aptos Narrow"/>
        <family val="2"/>
      </rPr>
      <t>)</t>
    </r>
  </si>
  <si>
    <t>Policy</t>
  </si>
  <si>
    <t>B2 – Practices, policies and future initiatives for transitioning towards a more sustainable economy</t>
  </si>
  <si>
    <t>February</t>
  </si>
  <si>
    <t xml:space="preserve">    0101 Wastes from mineral excavation</t>
  </si>
  <si>
    <t>AFN</t>
  </si>
  <si>
    <t>As an average across the reporting period</t>
  </si>
  <si>
    <t>DUNS</t>
  </si>
  <si>
    <t>A - 01 Crop and animal production, hunting and related service activities</t>
  </si>
  <si>
    <t>NACE_A01</t>
  </si>
  <si>
    <t>NACE A - 01.2 Growing of perennial crops</t>
  </si>
  <si>
    <t>Afghanistan</t>
  </si>
  <si>
    <t>country:AF</t>
  </si>
  <si>
    <t>Ammonia (NH3)</t>
  </si>
  <si>
    <t xml:space="preserve">    01 01 01 - Non-Hazardous - Wastes from mineral metalliferous excavation</t>
  </si>
  <si>
    <t>partnership</t>
  </si>
  <si>
    <r>
      <t>cubic meters (m3</t>
    </r>
    <r>
      <rPr>
        <sz val="11"/>
        <color theme="1"/>
        <rFont val="Aptos Narrow"/>
        <family val="2"/>
      </rPr>
      <t>)</t>
    </r>
  </si>
  <si>
    <t>Soil</t>
  </si>
  <si>
    <t>Water and marine resources</t>
  </si>
  <si>
    <t>Future Initiative</t>
  </si>
  <si>
    <t>B3 – Energy and greenhouse gas emissions</t>
  </si>
  <si>
    <t>March</t>
  </si>
  <si>
    <t xml:space="preserve">    0102 Wastes from mineral dressing</t>
  </si>
  <si>
    <t>ALL</t>
  </si>
  <si>
    <t>A - 01.1 Growing of non-perennial crops</t>
  </si>
  <si>
    <t>NACE_A011</t>
  </si>
  <si>
    <t>NACE A - 01.3 Plant propagation</t>
  </si>
  <si>
    <t>Antigua and Barbuda</t>
  </si>
  <si>
    <t>country:AG</t>
  </si>
  <si>
    <t>Anthracene</t>
  </si>
  <si>
    <t xml:space="preserve">    01 01 02 - Non-Hazardous - Wastes from mineral non-metalliferous excavation</t>
  </si>
  <si>
    <t>cooperative</t>
  </si>
  <si>
    <t>Biodiversity and ecosystems</t>
  </si>
  <si>
    <t>B4 – Pollution of air, water and soil</t>
  </si>
  <si>
    <t>April</t>
  </si>
  <si>
    <t xml:space="preserve">    0103 Wastes from further physical and chemical processing of metalliferous minerals</t>
  </si>
  <si>
    <t>AMD</t>
  </si>
  <si>
    <t>PermID</t>
  </si>
  <si>
    <t>A - 01.11 Growing of cereals, other than rice, leguminous crops and oil seeds</t>
  </si>
  <si>
    <t>NACE_A0111</t>
  </si>
  <si>
    <t>NACE A - 01.4 Animal production</t>
  </si>
  <si>
    <t>Anguilla</t>
  </si>
  <si>
    <t>country:AI</t>
  </si>
  <si>
    <t>Arsenic and compounds (As)</t>
  </si>
  <si>
    <t xml:space="preserve">  01 03 - Wastes from physical and chemical processing of metalliferous minerals</t>
  </si>
  <si>
    <t>other (please specify the legal form in the row below)</t>
  </si>
  <si>
    <t>Circular economy</t>
  </si>
  <si>
    <t>B5 – Biodiversity</t>
  </si>
  <si>
    <t>May</t>
  </si>
  <si>
    <t xml:space="preserve">    0104 Wastes from further physical and chemical processing on non-metalliferous minerals</t>
  </si>
  <si>
    <t>ANG</t>
  </si>
  <si>
    <t>A - 01.12 Growing of rice</t>
  </si>
  <si>
    <t>NACE_A0112</t>
  </si>
  <si>
    <t>NACE A - 01.5 Mixed farming</t>
  </si>
  <si>
    <t>Albania</t>
  </si>
  <si>
    <t>country:AL</t>
  </si>
  <si>
    <t>Asbestos</t>
  </si>
  <si>
    <t xml:space="preserve">    01 03 04 - Hazardous - Acid-generating tailings from processing of sulphide ore</t>
  </si>
  <si>
    <t>Own workforce</t>
  </si>
  <si>
    <t>B6 – Water</t>
  </si>
  <si>
    <t>June</t>
  </si>
  <si>
    <t xml:space="preserve">    0105 Drilling muds and other drilling wastes</t>
  </si>
  <si>
    <t>AOA</t>
  </si>
  <si>
    <t>A - 01.13 Growing of vegetables and melons, roots and tubers</t>
  </si>
  <si>
    <t>NACE_A0113</t>
  </si>
  <si>
    <t>NACE A - 01.6 Support activities to agriculture and post-harvest crop activities</t>
  </si>
  <si>
    <t>Armenia</t>
  </si>
  <si>
    <t>country:AM</t>
  </si>
  <si>
    <t>Atrazine</t>
  </si>
  <si>
    <t xml:space="preserve">    01 03 05 - Hazardous - Other tailings containing hazardous substances</t>
  </si>
  <si>
    <t>Workers in the value chain</t>
  </si>
  <si>
    <t>B7 – Resource use, circular economy and waste management</t>
  </si>
  <si>
    <t>July</t>
  </si>
  <si>
    <t>02 WASTES FROM AGRICULTURAL, HORTICULTURAL, HUNTING, FISHING AND AQUACULTURAL PRIMARY PRODUCTION, FOOD PREPARATION AND PROCESSING</t>
  </si>
  <si>
    <t>ARS</t>
  </si>
  <si>
    <t>A - 01.14 Growing of sugar cane</t>
  </si>
  <si>
    <t>NACE_A0114</t>
  </si>
  <si>
    <t>NACE A - 01.7 Hunting, trapping and related service activities</t>
  </si>
  <si>
    <t>Netherlands Antilles (before 2010-12-15)</t>
  </si>
  <si>
    <t>country:AN</t>
  </si>
  <si>
    <t>Benzene</t>
  </si>
  <si>
    <t xml:space="preserve">    01 03 06 - Non-Hazardous - Tailings other than those mentioned in 01 03 04 and 01 03 05</t>
  </si>
  <si>
    <t>Affected communities</t>
  </si>
  <si>
    <t>B8 – Workforce – General characteristics</t>
  </si>
  <si>
    <t>August</t>
  </si>
  <si>
    <t xml:space="preserve">    0201 Primary production wastes</t>
  </si>
  <si>
    <t>AUD</t>
  </si>
  <si>
    <t>A - 01.15 Growing of tobacco</t>
  </si>
  <si>
    <t>NACE_A0115</t>
  </si>
  <si>
    <t>NACE A - 02 Forestry and logging</t>
  </si>
  <si>
    <t>Angola</t>
  </si>
  <si>
    <t>country:AO</t>
  </si>
  <si>
    <t>Benzo(g,h,i)perylene</t>
  </si>
  <si>
    <t xml:space="preserve">    01 03 07 - Hazardous - Other wastes containing hazardous substances from physical and chemical processing of metalliferous minerals</t>
  </si>
  <si>
    <t>Consumers and end-users</t>
  </si>
  <si>
    <t>B9 – Workforce – Health and safety</t>
  </si>
  <si>
    <t>September</t>
  </si>
  <si>
    <t xml:space="preserve">    0202 Wastes from the preparation and processing of meat, fish and other foods of animal origin</t>
  </si>
  <si>
    <t>AWG</t>
  </si>
  <si>
    <t>A - 01.16 Growing of fibre crops</t>
  </si>
  <si>
    <t>NACE_A0116</t>
  </si>
  <si>
    <t>NACE A - 02.1 Silviculture and other forestry activities</t>
  </si>
  <si>
    <t>Antarctica</t>
  </si>
  <si>
    <t>country:AQ</t>
  </si>
  <si>
    <t>Brominated diphenylethers (PBDE)</t>
  </si>
  <si>
    <t xml:space="preserve">    01 03 08 - Non-Hazardous - Dusty and powdery wastes other than those mentioned in 01 03 07</t>
  </si>
  <si>
    <t>Business conduct</t>
  </si>
  <si>
    <t>B10 – Workforce – Remuneration, collective bargaining and training</t>
  </si>
  <si>
    <t>October</t>
  </si>
  <si>
    <t xml:space="preserve">    0203 Wastes from fruit, vegetables, cereals, edible oils, cocoa, coffee and tobacco preparation and processing; tobacco processing; conserve production</t>
  </si>
  <si>
    <t>AZN</t>
  </si>
  <si>
    <t>A - 01.19 Growing of other non-perennial crops</t>
  </si>
  <si>
    <t>NACE_A0119</t>
  </si>
  <si>
    <t>NACE A - 02.2 Logging</t>
  </si>
  <si>
    <t>Argentina</t>
  </si>
  <si>
    <t>country:AR</t>
  </si>
  <si>
    <t>Cadmium and compounds (Cd)</t>
  </si>
  <si>
    <t xml:space="preserve">    01 03 09 - Non-Hazardous - Red mud from alumina production other than the wastes mentioned in 01 03 10</t>
  </si>
  <si>
    <t>B11 – Convictions and fines for corruption and bribery</t>
  </si>
  <si>
    <t>November</t>
  </si>
  <si>
    <t xml:space="preserve">    0204 Wastes from sugar processing</t>
  </si>
  <si>
    <t>BAM</t>
  </si>
  <si>
    <t>A - 01.2 Growing of perennial crops</t>
  </si>
  <si>
    <t>NACE_A012</t>
  </si>
  <si>
    <t>NACE A - 02.3 Gathering of wild growing non-wood products</t>
  </si>
  <si>
    <t>American Samoa</t>
  </si>
  <si>
    <t>country:AS</t>
  </si>
  <si>
    <t>Carbon dioxide (CO2)</t>
  </si>
  <si>
    <t xml:space="preserve">    01 03 10 - Hazardous - Red mud from alumina production containing hazardous substances other than the wastes mentioned in 01 03 07</t>
  </si>
  <si>
    <t>C1 – Strategy: Business Model and Sustainability – Related Initiatives</t>
  </si>
  <si>
    <t>December</t>
  </si>
  <si>
    <t xml:space="preserve">    0205 Wastes from the dairy products industry</t>
  </si>
  <si>
    <t>BBD</t>
  </si>
  <si>
    <t>A - 01.21 Growing of grapes</t>
  </si>
  <si>
    <t>NACE_A0121</t>
  </si>
  <si>
    <t>NACE A - 02.4 Support services to forestry</t>
  </si>
  <si>
    <t>country:AT</t>
  </si>
  <si>
    <t>Carbon monoxide (CO)</t>
  </si>
  <si>
    <t xml:space="preserve">    01 03 99 - Non-Hazardous - Wastes not otherwise specified</t>
  </si>
  <si>
    <t>C2 – Description of practices, policies and future initiatives for transitioning towards a more sustainable economy</t>
  </si>
  <si>
    <t xml:space="preserve">    0206 Wastes from the baking and confectionery industry</t>
  </si>
  <si>
    <t>BDT</t>
  </si>
  <si>
    <t>A - 01.22 Growing of tropical and subtropical fruits</t>
  </si>
  <si>
    <t>NACE_A0122</t>
  </si>
  <si>
    <t>NACE A - 03 Fishing and aquaculture</t>
  </si>
  <si>
    <t>Australia</t>
  </si>
  <si>
    <t>country:AU</t>
  </si>
  <si>
    <t>Chlordane</t>
  </si>
  <si>
    <t xml:space="preserve">  01 04 - Wastes from physical and chemical processing of non-metalliferous minerals</t>
  </si>
  <si>
    <t>C3 – GHG reduction targets and climate transition</t>
  </si>
  <si>
    <t xml:space="preserve">    0207 Wastes from the production of alcoholic and non-alcoholic beverages (except coffee, tea and cocoa)</t>
  </si>
  <si>
    <t>BGN</t>
  </si>
  <si>
    <t>A - 01.23 Growing of citrus fruits</t>
  </si>
  <si>
    <t>NACE_A0123</t>
  </si>
  <si>
    <t>NACE A - 03.1 Fishing</t>
  </si>
  <si>
    <t>Aruba</t>
  </si>
  <si>
    <t>country:AW</t>
  </si>
  <si>
    <t>Chlordecone</t>
  </si>
  <si>
    <t xml:space="preserve">    01 04 07 - Hazardous - Wastes containing hazardous substances from physical and chemical processing of non-metalliferous minerals</t>
  </si>
  <si>
    <t>C4 – Climate risks</t>
  </si>
  <si>
    <t>03 WASTES FROM WOOD PROCESSING AND THE PRODUCTION OF PAPER, CARDBOARD, PULP, PANELS AND FURNITURE</t>
  </si>
  <si>
    <t>BHD</t>
  </si>
  <si>
    <t>A - 01.24 Growing of pome fruits and stone fruits</t>
  </si>
  <si>
    <t>NACE_A0124</t>
  </si>
  <si>
    <t>NACE A - 03.2 Aquaculture</t>
  </si>
  <si>
    <t>Åland Islands</t>
  </si>
  <si>
    <t>country:AX</t>
  </si>
  <si>
    <t>Chlorfenvinphos</t>
  </si>
  <si>
    <t xml:space="preserve">    01 04 08 - Non-Hazardous - Waste gravel and crushed rocks other than those mentioned in 01 04 07</t>
  </si>
  <si>
    <t>C5 – Additional (general) workforce characteristics</t>
  </si>
  <si>
    <t xml:space="preserve">    0301 Wastes from wood processing and the production of panels and furniture</t>
  </si>
  <si>
    <t>BIF</t>
  </si>
  <si>
    <t>A - 01.25 Growing of other tree and bush fruits and nuts</t>
  </si>
  <si>
    <t>NACE_A0125</t>
  </si>
  <si>
    <t>NACE A - 03.3 Support activities for fishing and aquaculture</t>
  </si>
  <si>
    <t>Azerbaijan</t>
  </si>
  <si>
    <t>country:AZ</t>
  </si>
  <si>
    <t>Chlorides (total Cl)</t>
  </si>
  <si>
    <t xml:space="preserve">    01 04 09 - Non-Hazardous - Waste sand and clays</t>
  </si>
  <si>
    <t>C6 – Additional own workforce information - Human rights policies and processes</t>
  </si>
  <si>
    <t xml:space="preserve">    0302 Wood preservation wastes</t>
  </si>
  <si>
    <t>BMD</t>
  </si>
  <si>
    <t>A - 01.26 Growing of oleaginous fruits</t>
  </si>
  <si>
    <t>NACE_A0126</t>
  </si>
  <si>
    <t>NACE A - AGRICULTURE, FORESTRY AND FISHING</t>
  </si>
  <si>
    <t>Bosnia and Herzegovina</t>
  </si>
  <si>
    <t>country:BA</t>
  </si>
  <si>
    <t>Chlorine and inorganic compounds (HCl)</t>
  </si>
  <si>
    <t xml:space="preserve">    01 04 10 - Non-Hazardous - Dusty and powdery wastes other than those mentioned in 01 04 07</t>
  </si>
  <si>
    <t>C7 – Severe negative human rights incidents</t>
  </si>
  <si>
    <t xml:space="preserve">    0303 Wastes from pulp, paper and cardboard production and processing</t>
  </si>
  <si>
    <t>BND</t>
  </si>
  <si>
    <t>A - 01.27 Growing of beverage crops</t>
  </si>
  <si>
    <t>NACE_A0127</t>
  </si>
  <si>
    <t>NACE B - 04 Mining of coal and lignite</t>
  </si>
  <si>
    <t>Barbados</t>
  </si>
  <si>
    <t>country:BB</t>
  </si>
  <si>
    <t>Chloro-alkanes, C10-C13</t>
  </si>
  <si>
    <t xml:space="preserve">    01 04 11 - Non-Hazardous - Wastes from potash and rock salt processing other than those mentioned in 01 04 07</t>
  </si>
  <si>
    <t>C8 – Revenues from certain sectors and exclusion from EU reference benchmarks</t>
  </si>
  <si>
    <t>04 WASTES FROM THE LEATHER, FUR AND TEXTILE INDUSTRIES</t>
  </si>
  <si>
    <t>BOB</t>
  </si>
  <si>
    <t>A - 01.28 Growing of spices, aromatic, drug and pharmaceutical crops</t>
  </si>
  <si>
    <t>NACE_A0128</t>
  </si>
  <si>
    <t>NACE B - 05 Extraction of crude petroleum and natural gas</t>
  </si>
  <si>
    <t>Bangladesh</t>
  </si>
  <si>
    <t>country:BD</t>
  </si>
  <si>
    <t>Chlorofluorocarbons (CFCs)</t>
  </si>
  <si>
    <t xml:space="preserve">    01 04 12 - Non-Hazardous - Tailings and other wastes from washing and cleaning of minerals other than those mentioned in 01 04 07 and 01 04 11</t>
  </si>
  <si>
    <t>C9 – Gender diversity ratio in the governance body</t>
  </si>
  <si>
    <t xml:space="preserve">    0401 Wastes from the leather and fur industry</t>
  </si>
  <si>
    <t>BOV</t>
  </si>
  <si>
    <t>A - 01.29 Growing of other perennial crops</t>
  </si>
  <si>
    <t>NACE_A0129</t>
  </si>
  <si>
    <t>NACE B - 05.1 Mining of hard coal</t>
  </si>
  <si>
    <t>Belgium</t>
  </si>
  <si>
    <t>country:BE</t>
  </si>
  <si>
    <t>Chlorpyrifos</t>
  </si>
  <si>
    <t xml:space="preserve">    01 04 13 - Non-Hazardous - Wastes from stone cutting and sawing other than those mentioned in 01 04 07</t>
  </si>
  <si>
    <t xml:space="preserve">    0402 Wastes from the textile industry</t>
  </si>
  <si>
    <t>BRL</t>
  </si>
  <si>
    <t>A - 01.3 Plant propagation</t>
  </si>
  <si>
    <t>NACE_A013</t>
  </si>
  <si>
    <t>NACE B - 05.2 Mining of lignite</t>
  </si>
  <si>
    <t>Burkina Faso</t>
  </si>
  <si>
    <t>country:BF</t>
  </si>
  <si>
    <t>Chromium and compounds (Cr)</t>
  </si>
  <si>
    <t xml:space="preserve">    01 04 99 - Non-Hazardous - Wastes not otherwise specified</t>
  </si>
  <si>
    <t>05 WASTES FROM PETROLEUM REFINING, NATURAL GAS PURIFICATION AND PYROLYTIC TREATMENT OF COAL</t>
  </si>
  <si>
    <t>BSD</t>
  </si>
  <si>
    <t>A - 01.30 Plant propagation</t>
  </si>
  <si>
    <t>NACE_A0130</t>
  </si>
  <si>
    <t>NACE B - 06 Mining of metal ores</t>
  </si>
  <si>
    <t>Bulgaria</t>
  </si>
  <si>
    <t>country:BG</t>
  </si>
  <si>
    <t>Copper and compounds (Cu)</t>
  </si>
  <si>
    <t xml:space="preserve">  01 05 - Drilling muds and other drilling wastes</t>
  </si>
  <si>
    <t xml:space="preserve">    0501 Oily sludges and solid wastes</t>
  </si>
  <si>
    <t>BTN</t>
  </si>
  <si>
    <t>A - 01.4 Animal production</t>
  </si>
  <si>
    <t>NACE_A014</t>
  </si>
  <si>
    <t>NACE B - 06.1 Extraction of crude petroleum</t>
  </si>
  <si>
    <t>Bahrain</t>
  </si>
  <si>
    <t>country:BH</t>
  </si>
  <si>
    <t>Cyanides (total CN)</t>
  </si>
  <si>
    <t xml:space="preserve">    01 05 04 - Non-Hazardous - Freshwater drilling muds and wastes</t>
  </si>
  <si>
    <t xml:space="preserve">    0502 Non oily sludges and solid wastes</t>
  </si>
  <si>
    <t>BWP</t>
  </si>
  <si>
    <t>A - 01.41 Raising of dairy cattle</t>
  </si>
  <si>
    <t>NACE_A0141</t>
  </si>
  <si>
    <t>NACE B - 06.2 Extraction of natural gas</t>
  </si>
  <si>
    <t>Burundi</t>
  </si>
  <si>
    <t>country:BI</t>
  </si>
  <si>
    <t>DDT</t>
  </si>
  <si>
    <t xml:space="preserve">    01 05 05 - Hazardous - Oil-containing drilling muds and wastes</t>
  </si>
  <si>
    <t xml:space="preserve">    0504 Spent filter clays</t>
  </si>
  <si>
    <t>BZD</t>
  </si>
  <si>
    <t>A - 01.42 Raising of other cattle and buffaloes</t>
  </si>
  <si>
    <t>NACE_A0142</t>
  </si>
  <si>
    <t>NACE B - 07 Other mining and quarrying</t>
  </si>
  <si>
    <t>Benin</t>
  </si>
  <si>
    <t>country:BJ</t>
  </si>
  <si>
    <t>Di-(2-ethyl hexyl) phthalate (DEHP)</t>
  </si>
  <si>
    <t xml:space="preserve">    01 05 06 - Hazardous - Drilling muds and other drilling wastes containing hazardous substances</t>
  </si>
  <si>
    <t xml:space="preserve">    0505 Oil desulphurisation wastes</t>
  </si>
  <si>
    <t>CAD</t>
  </si>
  <si>
    <t>A - 01.43 Raising of horses and other equines</t>
  </si>
  <si>
    <t>NACE_A0143</t>
  </si>
  <si>
    <t>NACE B - 07.1 Mining of iron ores</t>
  </si>
  <si>
    <t>Saint Barthélemy</t>
  </si>
  <si>
    <t>country:BL</t>
  </si>
  <si>
    <t>1,2-dichloroethane (EDC)</t>
  </si>
  <si>
    <t xml:space="preserve">    01 05 07 - Non-Hazardous - Barite-containing drilling muds and wastes other than those mentioned in 01 05 05 and 01 05 06</t>
  </si>
  <si>
    <t xml:space="preserve">    0506 Wastes from the pyrolytic treatment of coal</t>
  </si>
  <si>
    <t>CDF</t>
  </si>
  <si>
    <t>A - 01.44 Raising of camels and camelids</t>
  </si>
  <si>
    <t>NACE_A0144</t>
  </si>
  <si>
    <t>NACE B - 07.2 Mining of non-ferrous metal ores</t>
  </si>
  <si>
    <t>Bermuda</t>
  </si>
  <si>
    <t>country:BM</t>
  </si>
  <si>
    <t>Dichloromethane (DCM)</t>
  </si>
  <si>
    <t xml:space="preserve">    01 05 08 - Non-Hazardous - Chloride-containing drilling muds and wastes other than those mentioned in 01 05 05 and 01 05 06</t>
  </si>
  <si>
    <t xml:space="preserve">    0507 Wastes from natural gas purification</t>
  </si>
  <si>
    <t>CHE</t>
  </si>
  <si>
    <t>A - 01.45 Raising of sheep and goats</t>
  </si>
  <si>
    <t>NACE_A0145</t>
  </si>
  <si>
    <t>NACE B - 08 Mining support service activities</t>
  </si>
  <si>
    <t>Brunei Darussalam</t>
  </si>
  <si>
    <t>country:BN</t>
  </si>
  <si>
    <t>Dicofol</t>
  </si>
  <si>
    <t xml:space="preserve">    01 05 99 - Non-Hazardous - Wastes not otherwise specified</t>
  </si>
  <si>
    <t xml:space="preserve">    0508 Wastes from oil regeneration</t>
  </si>
  <si>
    <t>CHF</t>
  </si>
  <si>
    <t>A - 01.46 Raising of swine and pigs</t>
  </si>
  <si>
    <t>NACE_A0146</t>
  </si>
  <si>
    <t>NACE B - 08.1 Quarrying of stone, sand and clay</t>
  </si>
  <si>
    <t>Bolivia (Plurinational State of)</t>
  </si>
  <si>
    <t>country:BO</t>
  </si>
  <si>
    <t>Dieldrin</t>
  </si>
  <si>
    <t>02 - WASTES FROM AGRICULTURE, HORTICULTURE, AQUACULTURE, FORESTRY, HUNTING AND FISHING, FOOD PREPARATION AND PROCESSING</t>
  </si>
  <si>
    <t>06 WASTES FROM INORGANIC CHEMICAL PROCESSES</t>
  </si>
  <si>
    <t>CHW</t>
  </si>
  <si>
    <t>A - 01.47 Raising of poultry</t>
  </si>
  <si>
    <t>NACE_A0147</t>
  </si>
  <si>
    <t>NACE B - 08.9 Mining and quarrying n.e.c.</t>
  </si>
  <si>
    <t>Bonaire, Sint Eustatius and Saba</t>
  </si>
  <si>
    <t>country:BQ</t>
  </si>
  <si>
    <t>Diuron</t>
  </si>
  <si>
    <t xml:space="preserve">  02 01 - Wastes from agriculture, horticulture, aquaculture, forestry, hunting and fishing</t>
  </si>
  <si>
    <t xml:space="preserve">    0601 Waste acidic solutions</t>
  </si>
  <si>
    <t>CLF</t>
  </si>
  <si>
    <t>A - 01.48 Raising of other animals</t>
  </si>
  <si>
    <t>NACE_A0148</t>
  </si>
  <si>
    <t>NACE B - 09.1 Support activities for petroleum and natural gas extraction</t>
  </si>
  <si>
    <t>Brazil</t>
  </si>
  <si>
    <t>country:BR</t>
  </si>
  <si>
    <t>Endosulphan</t>
  </si>
  <si>
    <t xml:space="preserve">    02 01 01 - Non-Hazardous - Sludges from washing and cleaning</t>
  </si>
  <si>
    <t xml:space="preserve">    0602 Waste alkaline solutions</t>
  </si>
  <si>
    <t>CLP</t>
  </si>
  <si>
    <t>A - 01.5 Mixed farming</t>
  </si>
  <si>
    <t>NACE_A015</t>
  </si>
  <si>
    <t>NACE B - 09.9 Support activities for other mining and quarrying</t>
  </si>
  <si>
    <t>Bahamas</t>
  </si>
  <si>
    <t>country:BS</t>
  </si>
  <si>
    <t>Endrin</t>
  </si>
  <si>
    <t xml:space="preserve">    02 01 02 - Non-Hazardous - Animal-tissue waste</t>
  </si>
  <si>
    <t xml:space="preserve">    0603 Waste salts and their solutions</t>
  </si>
  <si>
    <t>CNY</t>
  </si>
  <si>
    <t>A - 01.50 Mixed farming</t>
  </si>
  <si>
    <t>NACE_A0150</t>
  </si>
  <si>
    <t>NACE B - MINING AND QUARRYING</t>
  </si>
  <si>
    <t>Bhutan</t>
  </si>
  <si>
    <t>country:BT</t>
  </si>
  <si>
    <t>Ethyl benzene</t>
  </si>
  <si>
    <t xml:space="preserve">    02 01 03 - Non-Hazardous - Plant-tissue waste</t>
  </si>
  <si>
    <t xml:space="preserve">    0604 Metal-containing wastes</t>
  </si>
  <si>
    <t>COP</t>
  </si>
  <si>
    <t>A - 01.6 Support activities to agriculture and post-harvest crop activities</t>
  </si>
  <si>
    <t>NACE_A016</t>
  </si>
  <si>
    <t>NACE C - 10 Manufacture of food products</t>
  </si>
  <si>
    <t>Burma (before 1989-12-15)</t>
  </si>
  <si>
    <t>country:BU</t>
  </si>
  <si>
    <t>Ethylene oxide</t>
  </si>
  <si>
    <t xml:space="preserve">    02 01 04 - Non-Hazardous - Waste plastics (except packaging)</t>
  </si>
  <si>
    <t xml:space="preserve">    0605 Sludges from on-site effluent treatment</t>
  </si>
  <si>
    <t>COU</t>
  </si>
  <si>
    <t>A - 01.61 Support activities for crop production</t>
  </si>
  <si>
    <t>NACE_A0161</t>
  </si>
  <si>
    <t>NACE C - 10.1 Processing and preserving of meat and production of meat products</t>
  </si>
  <si>
    <t>Bouvet Island</t>
  </si>
  <si>
    <t>country:BV</t>
  </si>
  <si>
    <t>Fluoranthene</t>
  </si>
  <si>
    <t xml:space="preserve">    02 01 06 - Non-Hazardous - Animal faeces, urine and manure (including spoiled straw), effluent, collected separately and treated off-site</t>
  </si>
  <si>
    <t xml:space="preserve">    0606 Wastes from sulphur chemical processes (production and transformation) and desulphurisation processes</t>
  </si>
  <si>
    <t>CRC</t>
  </si>
  <si>
    <t>A - 01.62 Support activities for animal production</t>
  </si>
  <si>
    <t>NACE_A0162</t>
  </si>
  <si>
    <t>NACE C - 10.2 Processing and preserving of fish, crustaceans and molluscs</t>
  </si>
  <si>
    <t>Botswana</t>
  </si>
  <si>
    <t>country:BW</t>
  </si>
  <si>
    <t>Fluorides (total F)</t>
  </si>
  <si>
    <t xml:space="preserve">    02 01 07 - Non-Hazardous - Wastes from forestry</t>
  </si>
  <si>
    <t xml:space="preserve">    0607 Wastes from halogen chemical processes</t>
  </si>
  <si>
    <t>CUC</t>
  </si>
  <si>
    <t>A - 01.63 Post-harvest crop activities and seed processing for propagation</t>
  </si>
  <si>
    <t>NACE_A0163</t>
  </si>
  <si>
    <t>NACE C - 10.3 Processing and preserving of fruit and vegetables</t>
  </si>
  <si>
    <t>Belarus</t>
  </si>
  <si>
    <t>country:BY</t>
  </si>
  <si>
    <t>Fluorine and inorganic compounds (HF)</t>
  </si>
  <si>
    <t xml:space="preserve">    02 01 08 - Hazardous - Agrochemical waste containing hazardous substances</t>
  </si>
  <si>
    <t xml:space="preserve">    0608 Waste from production of silicon and silicon derivatives</t>
  </si>
  <si>
    <t>CUP</t>
  </si>
  <si>
    <t>A - 01.7 Hunting, trapping and related service activities</t>
  </si>
  <si>
    <t>NACE_A017</t>
  </si>
  <si>
    <t>NACE C - 10.4 Manufacture of vegetable and animal oils and fats</t>
  </si>
  <si>
    <t>Belize</t>
  </si>
  <si>
    <t>country:BZ</t>
  </si>
  <si>
    <t>Halogenated organic compounds (AOX)</t>
  </si>
  <si>
    <t xml:space="preserve">    02 01 09 - Non-Hazardous - Agrochemical waste other than those mentioned in 02 01 08</t>
  </si>
  <si>
    <t xml:space="preserve">    0609 Wastes from phosphorus chemical processes</t>
  </si>
  <si>
    <t>CVE</t>
  </si>
  <si>
    <t>A - 01.70 Hunting, trapping and related service activities</t>
  </si>
  <si>
    <t>NACE_A0170</t>
  </si>
  <si>
    <t>NACE C - 10.5 Manufacture of dairy products and edible ice</t>
  </si>
  <si>
    <t>Canada</t>
  </si>
  <si>
    <t>country:CA</t>
  </si>
  <si>
    <t>Halons</t>
  </si>
  <si>
    <t xml:space="preserve">    02 01 10 - Non-Hazardous - Waste metal</t>
  </si>
  <si>
    <t xml:space="preserve">    0610 Waste from nitrogen chemical processes and fertiliser manufacture</t>
  </si>
  <si>
    <t>CZK</t>
  </si>
  <si>
    <t>A - 02 Forestry and logging</t>
  </si>
  <si>
    <t>NACE_A02</t>
  </si>
  <si>
    <t>NACE C - 10.6 Manufacture of grain mill products, starches and starch products</t>
  </si>
  <si>
    <t>Cocos (Keeling) Islands</t>
  </si>
  <si>
    <t>country:CC</t>
  </si>
  <si>
    <t>Heptachlor</t>
  </si>
  <si>
    <t xml:space="preserve">    02 01 99 - Non-Hazardous - Wastes not otherwise specified</t>
  </si>
  <si>
    <t xml:space="preserve">    0611 Waste from the manufacture of inorganic pigments and opacificiers</t>
  </si>
  <si>
    <t>DJF</t>
  </si>
  <si>
    <t>A - 02.1 Silviculture and other forestry activities</t>
  </si>
  <si>
    <t>NACE_A021</t>
  </si>
  <si>
    <t>NACE C - 10.7 Manufacture of bakery and farinaceous products</t>
  </si>
  <si>
    <t>Congo (the Democratic Republic of the)</t>
  </si>
  <si>
    <t>country:CD</t>
  </si>
  <si>
    <t>Hexabromobiphenyl</t>
  </si>
  <si>
    <t xml:space="preserve">  02 02 - Wastes from the preparation and processing of meat, fish and other foods of animal origin</t>
  </si>
  <si>
    <t xml:space="preserve">    0613 Wastes from other inorganic chemical processes</t>
  </si>
  <si>
    <t>DKK</t>
  </si>
  <si>
    <t>A - 02.10 Silviculture and other forestry activities</t>
  </si>
  <si>
    <t>NACE_A0210</t>
  </si>
  <si>
    <t>NACE C - 10.8 Manufacture of other food products</t>
  </si>
  <si>
    <t>Central African Republic</t>
  </si>
  <si>
    <t>country:CF</t>
  </si>
  <si>
    <t>Hexachlorobenzene (HCB)</t>
  </si>
  <si>
    <t xml:space="preserve">    02 02 01 - Non-Hazardous - Sludges from washing and cleaning</t>
  </si>
  <si>
    <t>07 WASTES FROM ORGANIC CHEMICAL PROCESSES</t>
  </si>
  <si>
    <t>DOP</t>
  </si>
  <si>
    <t>A - 02.2 Logging</t>
  </si>
  <si>
    <t>NACE_A022</t>
  </si>
  <si>
    <t>NACE C - 10.9 Manufacture of prepared animal feeds</t>
  </si>
  <si>
    <t>Congo</t>
  </si>
  <si>
    <t>country:CG</t>
  </si>
  <si>
    <t>Hexachlorobutadiene (HCBD)</t>
  </si>
  <si>
    <t xml:space="preserve">    02 02 02 - Non-Hazardous - Animal-tissue waste</t>
  </si>
  <si>
    <t xml:space="preserve">    0701 Wastes from the manufacture, formulation, supply and use (MFSU) of basic organic chemicals</t>
  </si>
  <si>
    <t>DZD</t>
  </si>
  <si>
    <t>A - 02.20 Logging</t>
  </si>
  <si>
    <t>NACE_A0220</t>
  </si>
  <si>
    <t>NACE C - 11 Manufacture of beverages</t>
  </si>
  <si>
    <t>country:CH</t>
  </si>
  <si>
    <t>1,2,3,4,5,6-hexachlorocyclohexane (HCH)</t>
  </si>
  <si>
    <t xml:space="preserve">    02 02 03 - Non-Hazardous - Materials unsuitable for consumption or processing</t>
  </si>
  <si>
    <t xml:space="preserve">    0702 Wastes from the MFSU of plastics, synthetic rubber and man-made fibres</t>
  </si>
  <si>
    <t>EGP</t>
  </si>
  <si>
    <t>A - 02.3 Gathering of wild growing non-wood products</t>
  </si>
  <si>
    <t>NACE_A023</t>
  </si>
  <si>
    <t>NACE C - 11.0 Manufacture of beverages</t>
  </si>
  <si>
    <t>Côte d'Ivoire</t>
  </si>
  <si>
    <t>country:CI</t>
  </si>
  <si>
    <t>Hydrochlorofluorocarbons (HCFCs)</t>
  </si>
  <si>
    <t xml:space="preserve">    02 02 04 - Non-Hazardous - Sludges from on-site effluent treatment</t>
  </si>
  <si>
    <t xml:space="preserve">    0703 Wastes from the MFSU of organic dyes and pigments (except waste from the manufacture of inorganic pigments and opacificiers)</t>
  </si>
  <si>
    <t>ERN</t>
  </si>
  <si>
    <t>A - 02.30 Gathering of wild growing non-wood products</t>
  </si>
  <si>
    <t>NACE_A0230</t>
  </si>
  <si>
    <t>NACE C - 12 Manufacture of tobacco products</t>
  </si>
  <si>
    <t>Cook Islands</t>
  </si>
  <si>
    <t>country:CK</t>
  </si>
  <si>
    <t>Hydro-fluorocarbons (HFCs)</t>
  </si>
  <si>
    <t xml:space="preserve">    02 02 99 - Non-Hazardous - Wastes not otherwise specified</t>
  </si>
  <si>
    <t xml:space="preserve">    0704 Wastes from the MFSU of organic pesticides (except agrochemical wastes)</t>
  </si>
  <si>
    <t>ETB</t>
  </si>
  <si>
    <t>A - 02.4 Support services to forestry</t>
  </si>
  <si>
    <t>NACE_A024</t>
  </si>
  <si>
    <t>NACE C - 12.0 Manufacture of tobacco products</t>
  </si>
  <si>
    <t>Chile</t>
  </si>
  <si>
    <t>country:CL</t>
  </si>
  <si>
    <t>Hydrogen cyanide (HCN)</t>
  </si>
  <si>
    <t xml:space="preserve">  02 03 - Wastes from fruit, vegetables, cereals, edible oils, cocoa, coffee, tea and tobacco preparation and processing; conserve production; yeast and yeast extract production, molasses preparation and fermentation</t>
  </si>
  <si>
    <t xml:space="preserve">    0705 Wastes from the MFSU of pharmaceuticals</t>
  </si>
  <si>
    <t>A - 02.40 Support services to forestry</t>
  </si>
  <si>
    <t>NACE_A0240</t>
  </si>
  <si>
    <t>NACE C - 13 Manufacture of textiles</t>
  </si>
  <si>
    <t>Cameroon</t>
  </si>
  <si>
    <t>country:CM</t>
  </si>
  <si>
    <t>Isodrin</t>
  </si>
  <si>
    <t xml:space="preserve">    02 03 01 - Non-Hazardous - Sludges from washing, cleaning, peeling, centrifuging and separation</t>
  </si>
  <si>
    <t xml:space="preserve">    0706 Wastes from the MFSU of fats, grease, soaps, detergents disinfectants and cosmetics</t>
  </si>
  <si>
    <t>FJD</t>
  </si>
  <si>
    <t>A - 03 Fishing and aquaculture</t>
  </si>
  <si>
    <t>NACE_A03</t>
  </si>
  <si>
    <t>NACE C - 13.1 Preparation and spinning of textile fibres</t>
  </si>
  <si>
    <t>China</t>
  </si>
  <si>
    <t>country:CN</t>
  </si>
  <si>
    <t>Isoproturon</t>
  </si>
  <si>
    <t xml:space="preserve">    02 03 02 - Non-Hazardous - Wastes from preserving agents</t>
  </si>
  <si>
    <t xml:space="preserve">    0707 Wastes from the MFSU of fine chemicals and chemical products not otherwise specified</t>
  </si>
  <si>
    <t>FKP</t>
  </si>
  <si>
    <t>A - 03.1 Fishing</t>
  </si>
  <si>
    <t>NACE_A031</t>
  </si>
  <si>
    <t>NACE C - 13.2 Weaving of textiles</t>
  </si>
  <si>
    <t>Colombia</t>
  </si>
  <si>
    <t>country:CO</t>
  </si>
  <si>
    <t>Lead and compounds (Pb)</t>
  </si>
  <si>
    <t xml:space="preserve">    02 03 03 - Non-Hazardous - Wastes from solvent extraction</t>
  </si>
  <si>
    <t>08 WASTES FROM THE MANUFACTURE, FORMULATION, SUPPLY AND USE (MFSU) OF COATINGS (PAINTS, VARNISHES AND VITREOUS ENAMELS), ADHESIVES, SEALANTS AND PRINTING INKS</t>
  </si>
  <si>
    <t>GBP</t>
  </si>
  <si>
    <t>A - 03.11 Marine fishing</t>
  </si>
  <si>
    <t>NACE_A0311</t>
  </si>
  <si>
    <t>NACE C - 13.3 Finishing of textiles</t>
  </si>
  <si>
    <t>Costa Rica</t>
  </si>
  <si>
    <t>country:CR</t>
  </si>
  <si>
    <t>Lindane</t>
  </si>
  <si>
    <t xml:space="preserve">    02 03 04 - Non-Hazardous - Materials unsuitable for consumption or processing</t>
  </si>
  <si>
    <t xml:space="preserve">    0801 Wastes from MFSU and removal of paint and varnish</t>
  </si>
  <si>
    <t>GEL</t>
  </si>
  <si>
    <t>A - 03.12 Freshwater fishing</t>
  </si>
  <si>
    <t>NACE_A0312</t>
  </si>
  <si>
    <t>NACE C - 13.9 Manufacture of other textiles</t>
  </si>
  <si>
    <t>Serbia and Montenegro (before 2006-09-26)</t>
  </si>
  <si>
    <t>country:CS</t>
  </si>
  <si>
    <t>Mercury and compounds (Hg)</t>
  </si>
  <si>
    <t xml:space="preserve">    02 03 05 - Non-Hazardous - Sludges from on-site effluent treatment</t>
  </si>
  <si>
    <t xml:space="preserve">    0802 Wastes from MFSU of other coatings (including ceramic materials)</t>
  </si>
  <si>
    <t>GHS</t>
  </si>
  <si>
    <t>A - 03.2 Aquaculture</t>
  </si>
  <si>
    <t>NACE_A032</t>
  </si>
  <si>
    <t>NACE C - 14 Manufacture of wearing apparel</t>
  </si>
  <si>
    <t>Cuba</t>
  </si>
  <si>
    <t>country:CU</t>
  </si>
  <si>
    <t>Methane (CH4)</t>
  </si>
  <si>
    <t xml:space="preserve">    02 03 99 - Non-Hazardous - Wastes not otherwise specified</t>
  </si>
  <si>
    <t xml:space="preserve">    0803 Wastes from MFSU of printing inks</t>
  </si>
  <si>
    <t>GIP</t>
  </si>
  <si>
    <t>A - 03.21 Marine aquaculture</t>
  </si>
  <si>
    <t>NACE_A0321</t>
  </si>
  <si>
    <t>NACE C - 14.1 Manufacture of knitted and crocheted apparel</t>
  </si>
  <si>
    <t>Cabo Verde</t>
  </si>
  <si>
    <t>country:CV</t>
  </si>
  <si>
    <t>Mirex</t>
  </si>
  <si>
    <t xml:space="preserve">  02 04 - Wastes from sugar processing</t>
  </si>
  <si>
    <t xml:space="preserve">    0804 Wastes from MFSU of adhesives and sealants (including waterproofing products)</t>
  </si>
  <si>
    <t>GMD</t>
  </si>
  <si>
    <t>A - 03.22 Freshwater aquaculture</t>
  </si>
  <si>
    <t>NACE_A0322</t>
  </si>
  <si>
    <t>NACE C - 14.2 Manufacture of other wearing apparel and accessories</t>
  </si>
  <si>
    <t>Curaçao</t>
  </si>
  <si>
    <t>country:CW</t>
  </si>
  <si>
    <t>Naphthalene</t>
  </si>
  <si>
    <t xml:space="preserve">    02 04 01 - Non-Hazardous - Soil from cleaning and washing beet</t>
  </si>
  <si>
    <t xml:space="preserve">    0805 Wastes not otherwise specified</t>
  </si>
  <si>
    <t>GNF</t>
  </si>
  <si>
    <t>A - 03.3 Support activities for fishing and aquaculture</t>
  </si>
  <si>
    <t>NACE_A033</t>
  </si>
  <si>
    <t>NACE C - 15 Manufacture of leather and related products of other materials</t>
  </si>
  <si>
    <t>Christmas Island</t>
  </si>
  <si>
    <t>country:CX</t>
  </si>
  <si>
    <t>Nickel and compounds (Ni)</t>
  </si>
  <si>
    <t xml:space="preserve">    02 04 02 - Non-Hazardous - Off-specification calcium carbonate</t>
  </si>
  <si>
    <t>09 WASTES FROM THE PHOTOGRAPHIC INDUSTRY</t>
  </si>
  <si>
    <t>GTQ</t>
  </si>
  <si>
    <t>A - 03.30 Support activities for fishing and aquaculture</t>
  </si>
  <si>
    <t>NACE_A0330</t>
  </si>
  <si>
    <t>NACE C - 15.1 Tanning, dyeing, dressing of leather and fur; manufacture of luggage, handbags, saddlery and harness</t>
  </si>
  <si>
    <t>Cyprus</t>
  </si>
  <si>
    <t>country:CY</t>
  </si>
  <si>
    <t>Nitrogen oxides (NOx/NO2)</t>
  </si>
  <si>
    <t xml:space="preserve">    02 04 03 - Non-Hazardous - Sludges from on-site effluent treatment</t>
  </si>
  <si>
    <t xml:space="preserve">    0901 Wastes from the photographic industry</t>
  </si>
  <si>
    <t>GYD</t>
  </si>
  <si>
    <t>B - MINING AND QUARRYING</t>
  </si>
  <si>
    <t>NACE_B</t>
  </si>
  <si>
    <t>NACE C - 15.2 Manufacture of footwear</t>
  </si>
  <si>
    <t>Czechia</t>
  </si>
  <si>
    <t>country:CZ</t>
  </si>
  <si>
    <t>Nitrous oxide (N2O)</t>
  </si>
  <si>
    <t xml:space="preserve">    02 04 99 - Non-Hazardous - Wastes not otherwise specified</t>
  </si>
  <si>
    <t>10 INORGANIC WASTES FROM THERMAL PROCESSES</t>
  </si>
  <si>
    <t>HKD</t>
  </si>
  <si>
    <t>B - 04 Mining of coal and lignite</t>
  </si>
  <si>
    <t>NACE_B04</t>
  </si>
  <si>
    <t>NACE C - 15.20 Manufacture of footwear</t>
  </si>
  <si>
    <t>country:DE</t>
  </si>
  <si>
    <t>Non-methane volatile organic compounds (NMVOC)</t>
  </si>
  <si>
    <t xml:space="preserve">  02 05 - Wastes from the dairy products industry</t>
  </si>
  <si>
    <t xml:space="preserve">    1001 Wastes from power stations and other combustion plants (except wastes from waste treatment facilities, off-site waste water treatment plants and the water industry)</t>
  </si>
  <si>
    <t>HNL</t>
  </si>
  <si>
    <t>B - 05.1 Mining of hard coal</t>
  </si>
  <si>
    <t>NACE_B051</t>
  </si>
  <si>
    <t>NACE C - 16 Manufacture of wood and of products of wood and cork, except furniture; manufacture of articles of straw and plaiting materials</t>
  </si>
  <si>
    <t>Djibouti</t>
  </si>
  <si>
    <t>country:DJ</t>
  </si>
  <si>
    <t>Nonylphenol and Nonylphenol ethoxylates (NP/NPEs)</t>
  </si>
  <si>
    <t xml:space="preserve">    02 05 01 - Non-Hazardous - Materials unsuitable for consumption or processing</t>
  </si>
  <si>
    <t xml:space="preserve">    1002 Wastes from the iron and steel industry</t>
  </si>
  <si>
    <t>HRK</t>
  </si>
  <si>
    <t>B - 05.10 Mining of hard coal</t>
  </si>
  <si>
    <t>NACE_B0510</t>
  </si>
  <si>
    <t>NACE C - 16.1 Sawmilling and planing of wood; processing and finishing of wood</t>
  </si>
  <si>
    <t>Denmark</t>
  </si>
  <si>
    <t>country:DK</t>
  </si>
  <si>
    <t>Octylphenols and Octylphenol ethoxylates</t>
  </si>
  <si>
    <t xml:space="preserve">    02 05 02 - Non-Hazardous - Sludges from on-site effluent treatment</t>
  </si>
  <si>
    <t xml:space="preserve">    1003 Wastes from aluminium thermal metallurgy</t>
  </si>
  <si>
    <t>HTG</t>
  </si>
  <si>
    <t>B - 05.2 Mining of lignite</t>
  </si>
  <si>
    <t>NACE_B052</t>
  </si>
  <si>
    <t>NACE C - 16.2 Manufacture of products of wood, cork, straw and plaiting materials</t>
  </si>
  <si>
    <t>Dominica</t>
  </si>
  <si>
    <t>country:DM</t>
  </si>
  <si>
    <t>Organotin compounds (total Sn)</t>
  </si>
  <si>
    <t xml:space="preserve">    02 05 99 - Non-Hazardous - Wastes not otherwise specified</t>
  </si>
  <si>
    <t xml:space="preserve">    1004 Wastes from lead thermal metallurgy</t>
  </si>
  <si>
    <t>HUF</t>
  </si>
  <si>
    <t>B - 05.20 Mining of lignite</t>
  </si>
  <si>
    <t>NACE_B0520</t>
  </si>
  <si>
    <t>NACE C - 17 Manufacture of paper and paper products</t>
  </si>
  <si>
    <t>Dominican Republic</t>
  </si>
  <si>
    <t>country:DO</t>
  </si>
  <si>
    <t>Particulate matter (PM)</t>
  </si>
  <si>
    <t xml:space="preserve">  02 06 - Wastes from the baking and confectionery industry</t>
  </si>
  <si>
    <t xml:space="preserve">    1005 Wastes from zinc thermal metallurgy</t>
  </si>
  <si>
    <t>IDR</t>
  </si>
  <si>
    <t>B - 05 Extraction of crude petroleum and natural gas</t>
  </si>
  <si>
    <t>NACE_B05</t>
  </si>
  <si>
    <t>NACE C - 17.1 Manufacture of pulp, paper and paperboard</t>
  </si>
  <si>
    <t>Algeria</t>
  </si>
  <si>
    <t>country:DZ</t>
  </si>
  <si>
    <t>PCDD + PCDF (dioxins + furans) (Teq)</t>
  </si>
  <si>
    <t xml:space="preserve">    02 06 01 - Non-Hazardous - Materials unsuitable for consumption or processing</t>
  </si>
  <si>
    <t xml:space="preserve">    1006 Wastes from copper thermal metallurgy</t>
  </si>
  <si>
    <t>ILS</t>
  </si>
  <si>
    <t>B - 06.1 Extraction of crude petroleum</t>
  </si>
  <si>
    <t>NACE_B061</t>
  </si>
  <si>
    <t>NACE C - 17.2 Manufacture of articles of paper and paperboard</t>
  </si>
  <si>
    <t>Ecuador</t>
  </si>
  <si>
    <t>country:EC</t>
  </si>
  <si>
    <t>Pentachlorobenzene</t>
  </si>
  <si>
    <t xml:space="preserve">    02 06 02 - Non-Hazardous - Wastes from preserving agents</t>
  </si>
  <si>
    <t xml:space="preserve">    1007 Wastes from silver, gold and platinum thermal metallurgy</t>
  </si>
  <si>
    <t>INR</t>
  </si>
  <si>
    <t>B - 06.10 Extraction of crude petroleum</t>
  </si>
  <si>
    <t>NACE_B0610</t>
  </si>
  <si>
    <t>NACE C - 18 Printing and reproduction of recorded media</t>
  </si>
  <si>
    <t>Estonia</t>
  </si>
  <si>
    <t>country:EE</t>
  </si>
  <si>
    <t>Pentachlorophenol (PCP)</t>
  </si>
  <si>
    <t xml:space="preserve">    02 06 03 - Non-Hazardous - Sludges from on-site effluent treatment</t>
  </si>
  <si>
    <t xml:space="preserve">    1008 Wastes from other non-ferrous thermal metallurgy</t>
  </si>
  <si>
    <t>IQD</t>
  </si>
  <si>
    <t>B - 06.2 Extraction of natural gas</t>
  </si>
  <si>
    <t>NACE_B062</t>
  </si>
  <si>
    <t>NACE C - 18.1 Printing and service activities related to printing</t>
  </si>
  <si>
    <t>Egypt</t>
  </si>
  <si>
    <t>country:EG</t>
  </si>
  <si>
    <t>Perfluorocarbons (PFCs)</t>
  </si>
  <si>
    <t xml:space="preserve">    02 06 99 - Non-Hazardous - Wastes not otherwise specified</t>
  </si>
  <si>
    <t xml:space="preserve">    1009 Wastes from casting of ferrous pieces</t>
  </si>
  <si>
    <t>IRR</t>
  </si>
  <si>
    <t>B - 06.20 Extraction of natural gas</t>
  </si>
  <si>
    <t>NACE_B0620</t>
  </si>
  <si>
    <t>NACE C - 18.2 Reproduction of recorded media</t>
  </si>
  <si>
    <t>Western Sahara*</t>
  </si>
  <si>
    <t>country:EH</t>
  </si>
  <si>
    <t>Perfluorohexane-1-sulfonic acid (PFHxS) and its salts</t>
  </si>
  <si>
    <t xml:space="preserve">  02 07 - Wastes from the production of alcoholic and non-alcoholic beverages (except coffee, tea and cocoa)</t>
  </si>
  <si>
    <t xml:space="preserve">    1010 Wastes from casting of non-ferrous pieces</t>
  </si>
  <si>
    <t>ISK</t>
  </si>
  <si>
    <t>B - 06 Mining of metal ores</t>
  </si>
  <si>
    <t>NACE_B06</t>
  </si>
  <si>
    <t>NACE C - 19 Manufacture of coke and refined petroleum products</t>
  </si>
  <si>
    <t>Eritrea</t>
  </si>
  <si>
    <t>country:ER</t>
  </si>
  <si>
    <t>Perfluorooctanoic acid (PFOA) and its salts</t>
  </si>
  <si>
    <t xml:space="preserve">    02 07 01 - Non-Hazardous - Wastes from washing, cleaning and mechanical reduction of raw materials</t>
  </si>
  <si>
    <t xml:space="preserve">    1011 Wastes from manufacture of glass and glass products</t>
  </si>
  <si>
    <t>JMD</t>
  </si>
  <si>
    <t>B - 07.1 Mining of iron ores</t>
  </si>
  <si>
    <t>NACE_B071</t>
  </si>
  <si>
    <t>NACE C - 19.1 Manufacture of coke oven products</t>
  </si>
  <si>
    <t>Spain</t>
  </si>
  <si>
    <t>country:ES</t>
  </si>
  <si>
    <t>Phenols (total C)</t>
  </si>
  <si>
    <t xml:space="preserve">    02 07 02 - Non-Hazardous - Wastes from spirits distillation</t>
  </si>
  <si>
    <t xml:space="preserve">    1012 Wastes from manufacture of ceramic goods, bricks, tiles and construction products</t>
  </si>
  <si>
    <t>JOD</t>
  </si>
  <si>
    <t>B - 07.10 Mining of iron ores</t>
  </si>
  <si>
    <t>NACE_B0710</t>
  </si>
  <si>
    <t>NACE C - 19.2 Manufacture of refined petroleum products and fossil fuel products</t>
  </si>
  <si>
    <t>Ethiopia</t>
  </si>
  <si>
    <t>country:ET</t>
  </si>
  <si>
    <t>Polychlorinated biphenyls (PCBs)</t>
  </si>
  <si>
    <t xml:space="preserve">    02 07 03 - Non-Hazardous - Wastes from chemical treatment</t>
  </si>
  <si>
    <t xml:space="preserve">    1013 Wastes from manufacture of cement, lime and plaster and articles and products made from them</t>
  </si>
  <si>
    <t>JPY</t>
  </si>
  <si>
    <t>B - 07.2 Mining of non-ferrous metal ores</t>
  </si>
  <si>
    <t>NACE_B072</t>
  </si>
  <si>
    <t>NACE C - 20 Manufacture of chemicals and chemical products</t>
  </si>
  <si>
    <t>Finland</t>
  </si>
  <si>
    <t>country:FI</t>
  </si>
  <si>
    <t>Polycyclic aromatic hydrocarbons (PAHs)</t>
  </si>
  <si>
    <t xml:space="preserve">    02 07 04 - Non-Hazardous - Materials unsuitable for consumption or processing</t>
  </si>
  <si>
    <t>11 INORGANIC METAL-CONTAINING WASTES FROM METAL TREATMENT AND THE COATING OF METALS, AND NON-FERROUS HYDROMETALLURGY</t>
  </si>
  <si>
    <t>KES</t>
  </si>
  <si>
    <t>B - 07.21 Mining of uranium and thorium ores</t>
  </si>
  <si>
    <t>NACE_B0721</t>
  </si>
  <si>
    <t>NACE C - 20.1 Manufacture of basic chemicals, fertilisers and nitrogen compounds, plastics and synthetic rubber in primary forms</t>
  </si>
  <si>
    <t>Fiji</t>
  </si>
  <si>
    <t>country:FJ</t>
  </si>
  <si>
    <t>Simazine</t>
  </si>
  <si>
    <t xml:space="preserve">    02 07 05 - Non-Hazardous - Sludges from on-site effluent treatment</t>
  </si>
  <si>
    <t xml:space="preserve">    1101 Liquid wastes and sludges from metal treatment and coating of metals, (e.g. galvanic processes, zinc coating processes, pickling processes, etching, phosphatising, alkaline degreasing)</t>
  </si>
  <si>
    <t>KGS</t>
  </si>
  <si>
    <t>B - 07.29 Mining of other non-ferrous metal ores</t>
  </si>
  <si>
    <t>NACE_B0729</t>
  </si>
  <si>
    <t>NACE C - 20.2 Manufacture of pesticides, disinfectants and other agrochemical products</t>
  </si>
  <si>
    <t>Falkland Islands (the) [Malvinas]</t>
  </si>
  <si>
    <t>country:FK</t>
  </si>
  <si>
    <t>Sulphur hexafluoride (SF6)</t>
  </si>
  <si>
    <t xml:space="preserve">    02 07 99 - Non-Hazardous - Wastes not otherwise specified</t>
  </si>
  <si>
    <t xml:space="preserve">    1102 Wastes and sludges from non-ferrous hydrometallurgical processes</t>
  </si>
  <si>
    <t>KHR</t>
  </si>
  <si>
    <t>B - 07 Other mining and quarrying</t>
  </si>
  <si>
    <t>NACE_B07</t>
  </si>
  <si>
    <t>NACE C - 20.3 Manufacture of paints, varnishes and similar coatings, printing ink and mastics</t>
  </si>
  <si>
    <t>Micronesia (Federated States of)</t>
  </si>
  <si>
    <t>country:FM</t>
  </si>
  <si>
    <t>Sulphur oxides (SOx/SO2)</t>
  </si>
  <si>
    <t>03 - WASTES FROM WOOD PROCESSING AND THE PRODUCTION OF PANELS AND FURNITURE, PULP, PAPER AND CARDBOARD</t>
  </si>
  <si>
    <t xml:space="preserve">    1103 Sludges and solids from tempering processes</t>
  </si>
  <si>
    <t>KMF</t>
  </si>
  <si>
    <t>B - 08.1 Quarrying of stone, sand and clay</t>
  </si>
  <si>
    <t>NACE_B081</t>
  </si>
  <si>
    <t>NACE C - 20.4 Manufacture of washing, cleaning and polishing preparations</t>
  </si>
  <si>
    <t>Faroe Islands</t>
  </si>
  <si>
    <t>country:FO</t>
  </si>
  <si>
    <t>Tetrachloroethylene (PER)</t>
  </si>
  <si>
    <t xml:space="preserve">  03 01 - Wastes from wood processing and the production of panels and furniture</t>
  </si>
  <si>
    <t xml:space="preserve">    1104 Other inorganic metal-containing wastes not otherwise specified</t>
  </si>
  <si>
    <t>KPW</t>
  </si>
  <si>
    <t>B - 08.11 Quarrying of ornamental stone, limestone, gypsum, slate and other stone</t>
  </si>
  <si>
    <t>NACE_B0811</t>
  </si>
  <si>
    <t>NACE C - 20.5 Manufacture of other chemical products</t>
  </si>
  <si>
    <t>country:FR</t>
  </si>
  <si>
    <t>Tetrachloromethane (TCM)</t>
  </si>
  <si>
    <t xml:space="preserve">    03 01 01 - Non-Hazardous - Waste bark and cork</t>
  </si>
  <si>
    <t>12 WASTES FROM SHAPING AND SURFACE TREATMENT OF METALS AND PLASTICS</t>
  </si>
  <si>
    <t>KRW</t>
  </si>
  <si>
    <t>B - 08.12 Operation of gravel and sand pits and mining of clay and kaolin</t>
  </si>
  <si>
    <t>NACE_B0812</t>
  </si>
  <si>
    <t>NACE C - 20.6 Manufacture of man-made fibres</t>
  </si>
  <si>
    <t>Gabon</t>
  </si>
  <si>
    <t>country:GA</t>
  </si>
  <si>
    <t>1,1,2,2-tetrachloroethane</t>
  </si>
  <si>
    <t xml:space="preserve">    03 01 04 - Hazardous - Sawdust, shavings, cuttings, wood, particle board and veneer containing hazardous substances</t>
  </si>
  <si>
    <t xml:space="preserve">    1201 Wastes from shaping (including forgoing, welding, pressing, drawing, turning, cutting and filing)</t>
  </si>
  <si>
    <t>KWD</t>
  </si>
  <si>
    <t>B - 08.9 Mining and quarrying n.e.c.</t>
  </si>
  <si>
    <t>NACE_B089</t>
  </si>
  <si>
    <t>NACE C - 21 Manufacture of basic pharmaceutical products and pharmaceutical preparations</t>
  </si>
  <si>
    <t>country:GB</t>
  </si>
  <si>
    <t>Toluene</t>
  </si>
  <si>
    <t xml:space="preserve">    03 01 05 - Non-Hazardous - Sawdust, shavings, cuttings, wood, particle board and veneer other than those mentioned in 03 01 04</t>
  </si>
  <si>
    <t xml:space="preserve">    1202 Wastes from mechanical surface treatment processes (blasting, grinding, honing, lapping, polishing)</t>
  </si>
  <si>
    <t>KYD</t>
  </si>
  <si>
    <t>B - 08.91 Mining of chemical and fertiliser minerals</t>
  </si>
  <si>
    <t>NACE_B0891</t>
  </si>
  <si>
    <t>NACE C - 21.1 Manufacture of basic pharmaceutical products</t>
  </si>
  <si>
    <t>Grenada</t>
  </si>
  <si>
    <t>country:GD</t>
  </si>
  <si>
    <t>Total nitrogen</t>
  </si>
  <si>
    <t xml:space="preserve">    03 01 99 - Non-Hazardous - Wastes not otherwise specified</t>
  </si>
  <si>
    <t xml:space="preserve">    1203 Wastes from water and steam degreasing processes (except inorganic metal-containing wastes from metal treatment and the coating of metals, and non-ferrous hydrometallurgy)</t>
  </si>
  <si>
    <t>KZT</t>
  </si>
  <si>
    <t>B - 08.92 Extraction of peat</t>
  </si>
  <si>
    <t>NACE_B0892</t>
  </si>
  <si>
    <t>NACE C - 21.2 Manufacture of pharmaceutical preparations</t>
  </si>
  <si>
    <t>Georgia</t>
  </si>
  <si>
    <t>country:GE</t>
  </si>
  <si>
    <t>Total organic carbon (TOC) (total C or COD/3)</t>
  </si>
  <si>
    <t xml:space="preserve">  03 02 - Wastes from wood preservation</t>
  </si>
  <si>
    <t>13 OIL WASTES (except edible oils, wastes from petroleum refining, natural gas purification and pyrolytic treatment of coal and wastes from shaping and surface treatment of metals and plastics)</t>
  </si>
  <si>
    <t>LAK</t>
  </si>
  <si>
    <t>B - 08.93 Extraction of salt</t>
  </si>
  <si>
    <t>NACE_B0893</t>
  </si>
  <si>
    <t>NACE C - 22 Manufacture of rubber and plastic products</t>
  </si>
  <si>
    <t>French Guiana</t>
  </si>
  <si>
    <t>country:GF</t>
  </si>
  <si>
    <t>Total phosphorus</t>
  </si>
  <si>
    <t xml:space="preserve">    03 02 01 - Hazardous - Non-halogenated organic wood preservatives</t>
  </si>
  <si>
    <t xml:space="preserve">    1301 Waste hydraulic oils and brake fluids</t>
  </si>
  <si>
    <t>LBP</t>
  </si>
  <si>
    <t>B - 08.99 Other mining and quarrying n.e.c.</t>
  </si>
  <si>
    <t>NACE_B0899</t>
  </si>
  <si>
    <t>NACE C - 22.1 Manufacture of rubber products</t>
  </si>
  <si>
    <t>Guernsey</t>
  </si>
  <si>
    <t>country:GG</t>
  </si>
  <si>
    <t>Toxaphene</t>
  </si>
  <si>
    <t xml:space="preserve">    03 02 02 - Hazardous - Organochlorinated wood preservatives</t>
  </si>
  <si>
    <t xml:space="preserve">    1302 Waste engine, gear and lubricating oils</t>
  </si>
  <si>
    <t>LKR</t>
  </si>
  <si>
    <t>B - 08 Mining support service activities</t>
  </si>
  <si>
    <t>NACE_B08</t>
  </si>
  <si>
    <t>NACE C - 22.2 Manufacture of plastic products</t>
  </si>
  <si>
    <t>Ghana</t>
  </si>
  <si>
    <t>country:GH</t>
  </si>
  <si>
    <t>Tributyltin and compounds</t>
  </si>
  <si>
    <t xml:space="preserve">    03 02 03 - Hazardous - Organometallic wood preservatives</t>
  </si>
  <si>
    <t xml:space="preserve">    1303 Waste insulating and heat transmission oils and other liquids</t>
  </si>
  <si>
    <t>LRD</t>
  </si>
  <si>
    <t>B - 09.1 Support activities for petroleum and natural gas extraction</t>
  </si>
  <si>
    <t>NACE_B091</t>
  </si>
  <si>
    <t>NACE C - 23 Manufacture of other non-metallic mineral products</t>
  </si>
  <si>
    <t>Gibraltar</t>
  </si>
  <si>
    <t>country:GI</t>
  </si>
  <si>
    <t>Trichlorobenzenes (TCBs) (all isomers)</t>
  </si>
  <si>
    <t xml:space="preserve">    03 02 04 - Hazardous - Inorganic wood preservatives</t>
  </si>
  <si>
    <t xml:space="preserve">    1304 Bilge oils</t>
  </si>
  <si>
    <t>LSL</t>
  </si>
  <si>
    <t>B - 09.10 Support activities for petroleum and natural gas extraction</t>
  </si>
  <si>
    <t>NACE_B0910</t>
  </si>
  <si>
    <t>NACE C - 23.1 Manufacture of glass and glass products</t>
  </si>
  <si>
    <t>Greenland</t>
  </si>
  <si>
    <t>country:GL</t>
  </si>
  <si>
    <t>1,1,1-trichloroethane</t>
  </si>
  <si>
    <t xml:space="preserve">    03 02 05 - Hazardous - Other wood preservatives containing hazardous substances</t>
  </si>
  <si>
    <t xml:space="preserve">    1305 Oil/water separator contents</t>
  </si>
  <si>
    <t>LYD</t>
  </si>
  <si>
    <t>B - 09.9 Support activities for other mining and quarrying</t>
  </si>
  <si>
    <t>NACE_B099</t>
  </si>
  <si>
    <t>NACE C - 23.2 Manufacture of refractory products</t>
  </si>
  <si>
    <t>Gambia</t>
  </si>
  <si>
    <t>country:GM</t>
  </si>
  <si>
    <t>Trichloroethylene</t>
  </si>
  <si>
    <t xml:space="preserve">    03 02 99 - Non-Hazardous - Wood preservatives not otherwise specified</t>
  </si>
  <si>
    <t xml:space="preserve">    1306 Oil waste not otherwise specified</t>
  </si>
  <si>
    <t>MAD</t>
  </si>
  <si>
    <t>B - 09.90 Support activities for other mining and quarrying</t>
  </si>
  <si>
    <t>NACE_B0990</t>
  </si>
  <si>
    <t>NACE C - 23.3 Manufacture of clay building materials</t>
  </si>
  <si>
    <t>Guinea</t>
  </si>
  <si>
    <t>country:GN</t>
  </si>
  <si>
    <t>Trichloromethane</t>
  </si>
  <si>
    <t xml:space="preserve">  03 03 - Wastes from pulp, paper and cardboard production and processing</t>
  </si>
  <si>
    <t>14 WASTES FROM ORGANIC SUBSTANCES USED AS SOLVENTS (except WASTES FROM ORGANIC CHEMICAL PROCESSES and WASTES FROM THE MANUFACTURE, FORMULATION, SUPPLY AND USE (MFSU) OF COATINGS (PAINTS, VARNISHES AND VITREOUS ENAMELS), ADHESIVES, SEALANTS AND PRINTING INKS)</t>
  </si>
  <si>
    <t>MDL</t>
  </si>
  <si>
    <t>C - MANUFACTURING</t>
  </si>
  <si>
    <t>NACE_C</t>
  </si>
  <si>
    <t>NACE C - 23.4 Manufacture of other porcelain and ceramic products</t>
  </si>
  <si>
    <t>Guadeloupe</t>
  </si>
  <si>
    <t>country:GP</t>
  </si>
  <si>
    <t>Trifluralin</t>
  </si>
  <si>
    <t xml:space="preserve">    03 03 01 - Non-Hazardous - Waste bark and wood</t>
  </si>
  <si>
    <t xml:space="preserve">    1401 Wastes from metal degreasing and machinery maintenance</t>
  </si>
  <si>
    <t>MGA</t>
  </si>
  <si>
    <t>C - 10 Manufacture of food products</t>
  </si>
  <si>
    <t>NACE_C10</t>
  </si>
  <si>
    <t>NACE C - 23.5 Manufacture of cement, lime and plaster</t>
  </si>
  <si>
    <t>Equatorial Guinea</t>
  </si>
  <si>
    <t>country:GQ</t>
  </si>
  <si>
    <t>Triphenyltin and compounds</t>
  </si>
  <si>
    <t xml:space="preserve">    03 03 02 - Non-Hazardous - Green liquor sludge (from recovery of cooking liquor)</t>
  </si>
  <si>
    <t xml:space="preserve">    1402 Wastes from textile cleaning and degreasing of natural products</t>
  </si>
  <si>
    <t>MKD</t>
  </si>
  <si>
    <t>C - 10.1 Processing and preserving of meat and production of meat products</t>
  </si>
  <si>
    <t>NACE_C101</t>
  </si>
  <si>
    <t>NACE C - 23.6 Manufacture of articles of concrete, cement and plaster</t>
  </si>
  <si>
    <t>Greece</t>
  </si>
  <si>
    <t>country:GR</t>
  </si>
  <si>
    <t>Vinyl chloride</t>
  </si>
  <si>
    <t xml:space="preserve">    03 03 05 - Non-Hazardous - De-inking sludges from paper recycling</t>
  </si>
  <si>
    <t xml:space="preserve">    1403 Wastes from the electronic industry</t>
  </si>
  <si>
    <t>MMK</t>
  </si>
  <si>
    <t>C - 10.11 Processing and preserving of meat, except of poultry meat</t>
  </si>
  <si>
    <t>NACE_C1011</t>
  </si>
  <si>
    <t>NACE C - 23.7 Cutting, shaping and finishing of stone</t>
  </si>
  <si>
    <t>South Georgia and the South Sandwich Islands</t>
  </si>
  <si>
    <t>country:GS</t>
  </si>
  <si>
    <t>Xylenes</t>
  </si>
  <si>
    <t xml:space="preserve">    03 03 07 - Non-Hazardous - Mechanically separated rejects from pulping of waste paper and cardboard</t>
  </si>
  <si>
    <t xml:space="preserve">    1404 Wastes from coolants, foam/aerosol propellents</t>
  </si>
  <si>
    <t>MNT</t>
  </si>
  <si>
    <t>C - 10.12 Processing and preserving of poultry meat</t>
  </si>
  <si>
    <t>NACE_C1012</t>
  </si>
  <si>
    <t>NACE C - 23.9 Manufacture of abrasive products and non-metallic mineral products n.e.c.</t>
  </si>
  <si>
    <t>Guatemala</t>
  </si>
  <si>
    <t>country:GT</t>
  </si>
  <si>
    <t>Zinc and compounds (Zn)</t>
  </si>
  <si>
    <t xml:space="preserve">    03 03 08 - Non-Hazardous - Wastes from sorting of paper and cardboard destined for recycling</t>
  </si>
  <si>
    <t xml:space="preserve">    1405 Wastes from solvent and coolant recovery (still bottoms)</t>
  </si>
  <si>
    <t>MOP</t>
  </si>
  <si>
    <t>C - 10.13 Production of meat and poultry meat products</t>
  </si>
  <si>
    <t>NACE_C1013</t>
  </si>
  <si>
    <t>NACE C - 24 Manufacture of basic metals</t>
  </si>
  <si>
    <t>Guam</t>
  </si>
  <si>
    <t>country:GU</t>
  </si>
  <si>
    <t xml:space="preserve">    03 03 09 - Non-Hazardous - Lime mud waste</t>
  </si>
  <si>
    <t>15 WASTE PACKAGING; ABSORBENTS, WIPING CLOTHS, FILTER MATERIALS AND PROTECTIVE CLOTHING NOT OTHERWISE SPECIFIED</t>
  </si>
  <si>
    <t>MRU</t>
  </si>
  <si>
    <t>C - 10.2 Processing and preserving of fish, crustaceans and molluscs</t>
  </si>
  <si>
    <t>NACE_C102</t>
  </si>
  <si>
    <t>NACE C - 24.1 Manufacture of basic iron and steel and of ferro-alloys</t>
  </si>
  <si>
    <t>Guinea-Bissau</t>
  </si>
  <si>
    <t>country:GW</t>
  </si>
  <si>
    <t xml:space="preserve">    03 03 10 - Non-Hazardous - Fibre rejects, fibre-, filler- and coating-sludges from mechanical separation</t>
  </si>
  <si>
    <t xml:space="preserve">    1501 Packaging</t>
  </si>
  <si>
    <t>MUR</t>
  </si>
  <si>
    <t>C - 10.20 Processing and preserving of fish, crustaceans and molluscs</t>
  </si>
  <si>
    <t>NACE_C1020</t>
  </si>
  <si>
    <t>NACE C - 24.2 Manufacture of tubes, pipes, hollow profiles and related fittings, of steel</t>
  </si>
  <si>
    <t>Guyana</t>
  </si>
  <si>
    <t>country:GY</t>
  </si>
  <si>
    <t xml:space="preserve">    03 03 11 - Non-Hazardous - Sludges from on-site effluent treatment other than those mentioned in 03 03 10</t>
  </si>
  <si>
    <t xml:space="preserve">    1502 Absorbents, filter materials, wiping cloths and protective clothing</t>
  </si>
  <si>
    <t>MVR</t>
  </si>
  <si>
    <t>C - 10.3 Processing and preserving of fruit and vegetables</t>
  </si>
  <si>
    <t>NACE_C103</t>
  </si>
  <si>
    <t>NACE C - 24.3 Manufacture of other products of first processing of steel</t>
  </si>
  <si>
    <t>Hong Kong</t>
  </si>
  <si>
    <t>country:HK</t>
  </si>
  <si>
    <t xml:space="preserve">    03 03 99 - Non-Hazardous - Wastes not otherwise specified</t>
  </si>
  <si>
    <t>16 WASTES NOT OTHERWISE SPECIFIED IN THE LIST</t>
  </si>
  <si>
    <t>MWK</t>
  </si>
  <si>
    <t>C - 10.31 Processing and preserving of potatoes</t>
  </si>
  <si>
    <t>NACE_C1031</t>
  </si>
  <si>
    <t>NACE C - 24.4 Manufacture of basic precious and other non-ferrous metals</t>
  </si>
  <si>
    <t>Heard Island and McDonald Islands</t>
  </si>
  <si>
    <t>country:HM</t>
  </si>
  <si>
    <t>04 - WASTES FROM THE LEATHER, FUR AND TEXTILE INDUSTRIES</t>
  </si>
  <si>
    <t xml:space="preserve">    1601 End-of-life vehicles and their components</t>
  </si>
  <si>
    <t>MXN</t>
  </si>
  <si>
    <t>C - 10.32 Manufacture of fruit and vegetable juice</t>
  </si>
  <si>
    <t>NACE_C1032</t>
  </si>
  <si>
    <t>NACE C - 24.5 Casting of metals</t>
  </si>
  <si>
    <t>Honduras</t>
  </si>
  <si>
    <t>country:HN</t>
  </si>
  <si>
    <t xml:space="preserve">  04 01 - Wastes from the leather and fur industry</t>
  </si>
  <si>
    <t xml:space="preserve">    1602 Discarded equipment and its components</t>
  </si>
  <si>
    <t>MXV</t>
  </si>
  <si>
    <t>C - 10.39 Other processing and preserving of fruit and vegetables</t>
  </si>
  <si>
    <t>NACE_C1039</t>
  </si>
  <si>
    <t>NACE C - 25 Manufacture of fabricated metal products, except machinery and equipment</t>
  </si>
  <si>
    <t>Croatia</t>
  </si>
  <si>
    <t>country:HR</t>
  </si>
  <si>
    <t xml:space="preserve">    04 01 01 - Non-Hazardous - Fleshings and lime split wastes</t>
  </si>
  <si>
    <t xml:space="preserve">    1603 Off-specification batches</t>
  </si>
  <si>
    <t>MYR</t>
  </si>
  <si>
    <t>C - 10.4 Manufacture of vegetable and animal oils and fats</t>
  </si>
  <si>
    <t>NACE_C104</t>
  </si>
  <si>
    <t>NACE C - 25.1 Manufacture of structural metal products</t>
  </si>
  <si>
    <t>Haiti</t>
  </si>
  <si>
    <t>country:HT</t>
  </si>
  <si>
    <t xml:space="preserve">    04 01 02 - Non-Hazardous - Liming waste</t>
  </si>
  <si>
    <t xml:space="preserve">    1604 Waste explosives</t>
  </si>
  <si>
    <t>MZN</t>
  </si>
  <si>
    <t>C - 10.41 Manufacture of oils and fats</t>
  </si>
  <si>
    <t>NACE_C1041</t>
  </si>
  <si>
    <t>NACE C - 25.2 Manufacture of tanks, reservoirs and containers of metal</t>
  </si>
  <si>
    <t>Hungary</t>
  </si>
  <si>
    <t>country:HU</t>
  </si>
  <si>
    <t xml:space="preserve">    04 01 03 - Hazardous - Degreasing wastes containing solvents without a liquid phase</t>
  </si>
  <si>
    <t xml:space="preserve">    1605 Chemicals and gases in containers</t>
  </si>
  <si>
    <t>NAD</t>
  </si>
  <si>
    <t>C - 10.42 Manufacture of margarine and similar edible fats</t>
  </si>
  <si>
    <t>NACE_C1042</t>
  </si>
  <si>
    <t>NACE C - 25.3 Manufacture of weapons and ammunition</t>
  </si>
  <si>
    <t>Indonesia</t>
  </si>
  <si>
    <t>country:ID</t>
  </si>
  <si>
    <t xml:space="preserve">    04 01 04 - Non-Hazardous - Tanning liquor containing chromium</t>
  </si>
  <si>
    <t xml:space="preserve">    1606 Batteries and accumulators</t>
  </si>
  <si>
    <t>NGN</t>
  </si>
  <si>
    <t>C - 10.5 Manufacture of dairy products and edible ice</t>
  </si>
  <si>
    <t>NACE_C105</t>
  </si>
  <si>
    <t>NACE C - 25.4 Forging and shaping metal and powder metallurgy</t>
  </si>
  <si>
    <t>Ireland</t>
  </si>
  <si>
    <t>country:IE</t>
  </si>
  <si>
    <t xml:space="preserve">    04 01 05 - Non-Hazardous - Tanning liquor free of chromium</t>
  </si>
  <si>
    <t xml:space="preserve">    1607 Wastes from transport and storage tank cleaning (except wastes from petroleum refining, natural gas purification and pyrolytic treatment of coal and wastes from shaping and surface treatment of metals and plastics)</t>
  </si>
  <si>
    <t>NIO</t>
  </si>
  <si>
    <t>C - 10.51 Manufacture of dairy products</t>
  </si>
  <si>
    <t>NACE_C1051</t>
  </si>
  <si>
    <t>NACE C - 25.5 Treatment and coating of metals; machining</t>
  </si>
  <si>
    <t>Israel</t>
  </si>
  <si>
    <t>country:IL</t>
  </si>
  <si>
    <t xml:space="preserve">    04 01 06 - Non-Hazardous - Sludges, in particular from on-site effluent treatment containing chromium</t>
  </si>
  <si>
    <t xml:space="preserve">    1608 Spent catalysts</t>
  </si>
  <si>
    <t>NOK</t>
  </si>
  <si>
    <t>C - 10.52 Manufacture of ice cream and other edible ice</t>
  </si>
  <si>
    <t>NACE_C1052</t>
  </si>
  <si>
    <t>NACE C - 25.6 Manufacture of cutlery, tools and general hardware</t>
  </si>
  <si>
    <t>Isle of Man</t>
  </si>
  <si>
    <t>country:IM</t>
  </si>
  <si>
    <t xml:space="preserve">    04 01 07 - Non-Hazardous - Sludges, in particular from on-site effluent treatment free of chromium</t>
  </si>
  <si>
    <t>17 CONSTRUCTION AND DEMOLITION WASTES (INCLUDING ROAD CONSTRUCTION)</t>
  </si>
  <si>
    <t>NPR</t>
  </si>
  <si>
    <t>C - 10.6 Manufacture of grain mill products, starches and starch products</t>
  </si>
  <si>
    <t>NACE_C106</t>
  </si>
  <si>
    <t>NACE C - 25.9 Manufacture of other fabricated metal products</t>
  </si>
  <si>
    <t>India</t>
  </si>
  <si>
    <t>country:IN</t>
  </si>
  <si>
    <t xml:space="preserve">    04 01 08 - Non-Hazardous - Waste tanned leather (blue sheetings, shavings, cuttings, buffing dust) containing chromium</t>
  </si>
  <si>
    <t xml:space="preserve">    1701 Concrete, bricks, tiles, ceramics, and gypsum-based materials</t>
  </si>
  <si>
    <t>NZD</t>
  </si>
  <si>
    <t>C - 10.61 Manufacture of grain mill products</t>
  </si>
  <si>
    <t>NACE_C1061</t>
  </si>
  <si>
    <t>NACE C - 26 Manufacture of computer, electronic and optical products</t>
  </si>
  <si>
    <t>British Indian Ocean Territory</t>
  </si>
  <si>
    <t>country:IO</t>
  </si>
  <si>
    <t xml:space="preserve">    04 01 09 - Non-Hazardous - Wastes from dressing and finishing</t>
  </si>
  <si>
    <t xml:space="preserve">    1702 Wood, glass and plastic</t>
  </si>
  <si>
    <t>OMR</t>
  </si>
  <si>
    <t>C - 10.62 Manufacture of starches and starch products</t>
  </si>
  <si>
    <t>NACE_C1062</t>
  </si>
  <si>
    <t>NACE C - 26.1 Manufacture of electronic components and boards</t>
  </si>
  <si>
    <t>Iraq</t>
  </si>
  <si>
    <t>country:IQ</t>
  </si>
  <si>
    <t xml:space="preserve">    04 01 99 - Non-Hazardous - Wastes not otherwise specified</t>
  </si>
  <si>
    <t xml:space="preserve">    1703 Asphalt, tar and tarred products</t>
  </si>
  <si>
    <t>PAB</t>
  </si>
  <si>
    <t>C - 10.7 Manufacture of bakery and farinaceous products</t>
  </si>
  <si>
    <t>NACE_C107</t>
  </si>
  <si>
    <t>NACE C - 26.2 Manufacture of computers and peripheral equipment</t>
  </si>
  <si>
    <t>Iran (Islamic Republic of)</t>
  </si>
  <si>
    <t>country:IR</t>
  </si>
  <si>
    <t xml:space="preserve">  04 02 - Wastes from the textile industry</t>
  </si>
  <si>
    <t xml:space="preserve">    1704 Metals (including their alloys)</t>
  </si>
  <si>
    <t>PEN</t>
  </si>
  <si>
    <t>C - 10.71 Manufacture of bread; manufacture of fresh pastry goods and cakes</t>
  </si>
  <si>
    <t>NACE_C1071</t>
  </si>
  <si>
    <t>NACE C - 26.3 Manufacture of communication equipment</t>
  </si>
  <si>
    <t>Iceland</t>
  </si>
  <si>
    <t>country:IS</t>
  </si>
  <si>
    <t xml:space="preserve">    04 02 09 - Non-Hazardous - Wastes from composite materials (impregnated textile, elastomer, plastomer)</t>
  </si>
  <si>
    <t xml:space="preserve">    1705 Soil and dredging spoil</t>
  </si>
  <si>
    <t>PGK</t>
  </si>
  <si>
    <t>C - 10.72 Manufacture of rusks, biscuits, preserved pastries and cakes</t>
  </si>
  <si>
    <t>NACE_C1072</t>
  </si>
  <si>
    <t>NACE C - 26.4 Manufacture of consumer electronics</t>
  </si>
  <si>
    <t>country:IT</t>
  </si>
  <si>
    <t xml:space="preserve">    04 02 10 - Non-Hazardous - Organic matter from natural products (for example grease, wax)</t>
  </si>
  <si>
    <t xml:space="preserve">    1706 Insulation materials</t>
  </si>
  <si>
    <t>PHP</t>
  </si>
  <si>
    <t>C - 10.73 Manufacture of farinaceous products</t>
  </si>
  <si>
    <t>NACE_C1073</t>
  </si>
  <si>
    <t>NACE C - 26.5 Manufacture of measuring testing instruments, clocks and watches</t>
  </si>
  <si>
    <t>Jersey</t>
  </si>
  <si>
    <t>country:JE</t>
  </si>
  <si>
    <t xml:space="preserve">    04 02 14 - Hazardous - Wastes from finishing containing organic solvents</t>
  </si>
  <si>
    <t xml:space="preserve">    1707 Mixed construction and demolition waste</t>
  </si>
  <si>
    <t>PKR</t>
  </si>
  <si>
    <t>C - 10.8 Manufacture of other food products</t>
  </si>
  <si>
    <t>NACE_C108</t>
  </si>
  <si>
    <t>NACE C - 26.6 Manufacture of irradiation, electromedical and electrotherapeutic equipment</t>
  </si>
  <si>
    <t>Jamaica</t>
  </si>
  <si>
    <t>country:JM</t>
  </si>
  <si>
    <t xml:space="preserve">    04 02 15 - Non-Hazardous - Wastes from finishing other than those mentioned in 04 02 14</t>
  </si>
  <si>
    <t>18 WASTES FROM HUMAN OR ANIMAL HEALTH CARE AND/OR RELATED RESEARCH (except kitchen and restaurant wastes not arising from immediate health care)</t>
  </si>
  <si>
    <t>PLN</t>
  </si>
  <si>
    <t>C - 10.81 Manufacture of sugar</t>
  </si>
  <si>
    <t>NACE_C1081</t>
  </si>
  <si>
    <t>NACE C - 26.7 Manufacture of optical instruments, magnetic and optical media and photographic equipment</t>
  </si>
  <si>
    <t>Jordan</t>
  </si>
  <si>
    <t>country:JO</t>
  </si>
  <si>
    <t xml:space="preserve">    04 02 16 - Hazardous - Dyestuffs and pigments containing hazardous substances</t>
  </si>
  <si>
    <t xml:space="preserve">    1801 Wastes from natal care, diagnosis, treatment or prevention of disease in humans</t>
  </si>
  <si>
    <t>PYG</t>
  </si>
  <si>
    <t>C - 10.82 Manufacture of cocoa, chocolate and sugar confectionery</t>
  </si>
  <si>
    <t>NACE_C1082</t>
  </si>
  <si>
    <t>NACE C - 27 Manufacture of electrical equipment</t>
  </si>
  <si>
    <t>country:JP</t>
  </si>
  <si>
    <t xml:space="preserve">    04 02 17 - Non-Hazardous - Dyestuffs and pigments other than those mentioned in 04 02 16</t>
  </si>
  <si>
    <t xml:space="preserve">    1802 Wastes from research, diagnosis, treatment or prevention of disease involving animals</t>
  </si>
  <si>
    <t>QAR</t>
  </si>
  <si>
    <t>C - 10.83 Processing of tea and coffee</t>
  </si>
  <si>
    <t>NACE_C1083</t>
  </si>
  <si>
    <t>NACE C - 27.1 Manufacture of electric motors, generators, transformers and electricity distribution and control apparatus</t>
  </si>
  <si>
    <t>Kenya</t>
  </si>
  <si>
    <t>country:KE</t>
  </si>
  <si>
    <t xml:space="preserve">    04 02 19 - Hazardous - Sludges from on-site effluent treatment containing hazardous substances</t>
  </si>
  <si>
    <t>19 WASTES FROM WASTE TREATMENT FACILITIES, OFF-SITE WASTE WATER TREATMENT PLANTS AND THE WATER INDUSTRY</t>
  </si>
  <si>
    <t>RON</t>
  </si>
  <si>
    <t>C - 10.84 Manufacture of condiments and seasonings</t>
  </si>
  <si>
    <t>NACE_C1084</t>
  </si>
  <si>
    <t>NACE C - 27.2 Manufacture of batteries and accumulators</t>
  </si>
  <si>
    <t>Kyrgyzstan</t>
  </si>
  <si>
    <t>country:KG</t>
  </si>
  <si>
    <t xml:space="preserve">    04 02 20 - Non-Hazardous - Sludges from on-site effluent treatment other than those mentioned in 04 02 19</t>
  </si>
  <si>
    <t xml:space="preserve">    1901 Wastes from incineration or pyrolysis of waste</t>
  </si>
  <si>
    <t>RSD</t>
  </si>
  <si>
    <t>C - 10.85 Manufacture of prepared meals and dishes</t>
  </si>
  <si>
    <t>NACE_C1085</t>
  </si>
  <si>
    <t>NACE C - 27.3 Manufacture of wiring and wiring devices</t>
  </si>
  <si>
    <t>Cambodia</t>
  </si>
  <si>
    <t>country:KH</t>
  </si>
  <si>
    <t xml:space="preserve">    04 02 21 - Non-Hazardous - Wastes from unprocessed textile fibres</t>
  </si>
  <si>
    <t xml:space="preserve">    1902 Wastes from specific physico/chemical treatments of industrial waste, (e.g. dechromatation, decyanidation, neutralisation)</t>
  </si>
  <si>
    <t>RUB</t>
  </si>
  <si>
    <t>C - 10.86 Manufacture of homogenised food preparations and dietetic food</t>
  </si>
  <si>
    <t>NACE_C1086</t>
  </si>
  <si>
    <t>NACE C - 27.4 Manufacture of lighting equipment</t>
  </si>
  <si>
    <t>Kiribati</t>
  </si>
  <si>
    <t>country:KI</t>
  </si>
  <si>
    <t xml:space="preserve">    04 02 22 - Non-Hazardous - Wastes from processed textile fibres</t>
  </si>
  <si>
    <t xml:space="preserve">    1903 Stabilised/solidified wastes</t>
  </si>
  <si>
    <t>RWF</t>
  </si>
  <si>
    <t>C - 10.89 Manufacture of other food products n.e.c.</t>
  </si>
  <si>
    <t>NACE_C1089</t>
  </si>
  <si>
    <t>NACE C - 27.5 Manufacture of domestic appliances</t>
  </si>
  <si>
    <t>Comoros</t>
  </si>
  <si>
    <t>country:KM</t>
  </si>
  <si>
    <t xml:space="preserve">    04 02 99 - Non-Hazardous - Wastes not otherwise specified</t>
  </si>
  <si>
    <t xml:space="preserve">    1904 Vitrified waste and wastes from vitrification</t>
  </si>
  <si>
    <t>SAR</t>
  </si>
  <si>
    <t>C - 10.9 Manufacture of prepared animal feeds</t>
  </si>
  <si>
    <t>NACE_C109</t>
  </si>
  <si>
    <t>NACE C - 27.9 Manufacture of other electrical equipment</t>
  </si>
  <si>
    <t>Saint Kitts and Nevis</t>
  </si>
  <si>
    <t>country:KN</t>
  </si>
  <si>
    <t>05 - WASTES FROM PETROLEUM REFINING, NATURAL GAS PURIFICATION AND PYROLYTIC TREATMENT OF COAL</t>
  </si>
  <si>
    <t xml:space="preserve">    1905 Wastes from aerobic treatment of solid wastes</t>
  </si>
  <si>
    <t>SBD</t>
  </si>
  <si>
    <t>C - 10.91 Manufacture of prepared feeds for farm animals</t>
  </si>
  <si>
    <t>NACE_C1091</t>
  </si>
  <si>
    <t>NACE C - 28 Manufacture of machinery and equipment n.e.c.</t>
  </si>
  <si>
    <t>Korea (the Democratic People's Republic of)</t>
  </si>
  <si>
    <t>country:KP</t>
  </si>
  <si>
    <t xml:space="preserve">  05 01 - Wastes from petroleum refining</t>
  </si>
  <si>
    <t xml:space="preserve">    1906 Wastes from anaerobic treatment of waste</t>
  </si>
  <si>
    <t>SCR</t>
  </si>
  <si>
    <t>C - 10.92 Manufacture of prepared pet foods</t>
  </si>
  <si>
    <t>NACE_C1092</t>
  </si>
  <si>
    <t>NACE C - 28.1 Manufacture of general-purpose machinery</t>
  </si>
  <si>
    <t>country:KR</t>
  </si>
  <si>
    <t xml:space="preserve">    05 01 02 - Hazardous - Desalter sludges</t>
  </si>
  <si>
    <t xml:space="preserve">    1907 Landfill leachate</t>
  </si>
  <si>
    <t>SDG</t>
  </si>
  <si>
    <t>C - 11 Manufacture of beverages</t>
  </si>
  <si>
    <t>NACE_C11</t>
  </si>
  <si>
    <t>NACE C - 28.2 Manufacture of other general-purpose machinery</t>
  </si>
  <si>
    <t>Kuwait</t>
  </si>
  <si>
    <t>country:KW</t>
  </si>
  <si>
    <t xml:space="preserve">    05 01 03 - Hazardous - Tank bottom sludges</t>
  </si>
  <si>
    <t xml:space="preserve">    1908 Wastes from waste water treatment plants not otherwise specified</t>
  </si>
  <si>
    <t>SEK</t>
  </si>
  <si>
    <t>C - 11.0 Manufacture of beverages</t>
  </si>
  <si>
    <t>NACE_C110</t>
  </si>
  <si>
    <t>NACE C - 28.3 Manufacture of agricultural and forestry machinery</t>
  </si>
  <si>
    <t>Cayman Islands</t>
  </si>
  <si>
    <t>country:KY</t>
  </si>
  <si>
    <t xml:space="preserve">    05 01 04 - Hazardous - Acid alkyl sludges</t>
  </si>
  <si>
    <t xml:space="preserve">    1909 Wastes from the preparation of drinking water or water for industrial use</t>
  </si>
  <si>
    <t>SGD</t>
  </si>
  <si>
    <t>C - 11.01 Distilling, rectifying and blending of spirits</t>
  </si>
  <si>
    <t>NACE_C1101</t>
  </si>
  <si>
    <t>NACE C - 28.4 Manufacture of metal forming machinery and machine tools</t>
  </si>
  <si>
    <t>Kazakhstan</t>
  </si>
  <si>
    <t>country:KZ</t>
  </si>
  <si>
    <t xml:space="preserve">    05 01 05 - Hazardous - Oil spills</t>
  </si>
  <si>
    <t xml:space="preserve">    1910 Wastes from shredding of metal-containing waste</t>
  </si>
  <si>
    <t>SHP</t>
  </si>
  <si>
    <t>C - 11.02 Manufacture of wine from grape</t>
  </si>
  <si>
    <t>NACE_C1102</t>
  </si>
  <si>
    <t>NACE C - 28.9 Manufacture of other special-purpose machinery</t>
  </si>
  <si>
    <t>Lao People's Democratic Republic</t>
  </si>
  <si>
    <t>country:LA</t>
  </si>
  <si>
    <t xml:space="preserve">    05 01 06 - Hazardous - Oily sludges from maintenance operations of the plant or equipment</t>
  </si>
  <si>
    <t>20 MUNICIPAL WASTES AND SIMILAR COMMERCIAL, INDUSTRIAL AND INSTITUTIONAL WASTES INCLUDING SEPARATELY COLLECTED FRACTIONS</t>
  </si>
  <si>
    <t>SLL</t>
  </si>
  <si>
    <t>C - 11.03 Manufacture of cider and other fermented fruit beverages</t>
  </si>
  <si>
    <t>NACE_C1103</t>
  </si>
  <si>
    <t>NACE C - 29 Manufacture of motor vehicles, trailers and semi-trailers</t>
  </si>
  <si>
    <t>Lebanon</t>
  </si>
  <si>
    <t>country:LB</t>
  </si>
  <si>
    <t xml:space="preserve">    05 01 07 - Hazardous - Acid tars</t>
  </si>
  <si>
    <t xml:space="preserve">    2001 Separately collected fractions</t>
  </si>
  <si>
    <t>SOS</t>
  </si>
  <si>
    <t>C - 11.04 Manufacture of other non-distilled fermented beverages</t>
  </si>
  <si>
    <t>NACE_C1104</t>
  </si>
  <si>
    <t>NACE C - 29.1 Manufacture of motor vehicles</t>
  </si>
  <si>
    <t>Saint Lucia</t>
  </si>
  <si>
    <t>country:LC</t>
  </si>
  <si>
    <t xml:space="preserve">    05 01 08 - Hazardous - Other tars</t>
  </si>
  <si>
    <t xml:space="preserve">    2002 Garden and park wastes (including cemetery waste)</t>
  </si>
  <si>
    <t>SRD</t>
  </si>
  <si>
    <t>C - 11.05 Manufacture of beer</t>
  </si>
  <si>
    <t>NACE_C1105</t>
  </si>
  <si>
    <t>NACE C - 29.2 Manufacture of bodies and coachwork for motor vehicles; manufacture of trailers and semi-trailers</t>
  </si>
  <si>
    <t>Liechtenstein</t>
  </si>
  <si>
    <t>country:LI</t>
  </si>
  <si>
    <t xml:space="preserve">    05 01 09 - Hazardous - Sludges from on-site effluent treatment containing hazardous substances</t>
  </si>
  <si>
    <t xml:space="preserve">    2003 Other municipal wastes</t>
  </si>
  <si>
    <t>SSP</t>
  </si>
  <si>
    <t>C - 11.06 Manufacture of malt</t>
  </si>
  <si>
    <t>NACE_C1106</t>
  </si>
  <si>
    <t>NACE C - 29.3 Manufacture of motor vehicle parts and accessories</t>
  </si>
  <si>
    <t>Sri Lanka</t>
  </si>
  <si>
    <t>country:LK</t>
  </si>
  <si>
    <t xml:space="preserve">    05 01 10 - Non-Hazardous - Sludges from on-site effluent treatment other than those mentioned in 05 01 09</t>
  </si>
  <si>
    <t>STD</t>
  </si>
  <si>
    <t>C - 11.07 Manufacture of soft drinks and bottled waters</t>
  </si>
  <si>
    <t>NACE_C1107</t>
  </si>
  <si>
    <t>NACE C - 30 Manufacture of other transport equipment</t>
  </si>
  <si>
    <t>Liberia</t>
  </si>
  <si>
    <t>country:LR</t>
  </si>
  <si>
    <t xml:space="preserve">    05 01 11 - Hazardous - Wastes from cleaning of fuels with bases</t>
  </si>
  <si>
    <t>SVC</t>
  </si>
  <si>
    <t>C - 12 Manufacture of tobacco products</t>
  </si>
  <si>
    <t>NACE_C12</t>
  </si>
  <si>
    <t>NACE C - 30.1 Building of ships and boats</t>
  </si>
  <si>
    <t>Lesotho</t>
  </si>
  <si>
    <t>country:LS</t>
  </si>
  <si>
    <t xml:space="preserve">    05 01 12 - Hazardous - Oil containing acids</t>
  </si>
  <si>
    <t>SYP</t>
  </si>
  <si>
    <t>C - 12.0 Manufacture of tobacco products</t>
  </si>
  <si>
    <t>NACE_C120</t>
  </si>
  <si>
    <t>NACE C - 30.2 Manufacture of railway locomotives and rolling stock</t>
  </si>
  <si>
    <t>Lithuania</t>
  </si>
  <si>
    <t>country:LT</t>
  </si>
  <si>
    <t xml:space="preserve">    05 01 13 - Non-Hazardous - Boiler feedwater sludges</t>
  </si>
  <si>
    <t>SZL</t>
  </si>
  <si>
    <t>C - 12.00 Manufacture of tobacco products</t>
  </si>
  <si>
    <t>NACE_C1200</t>
  </si>
  <si>
    <t>NACE C - 30.3 Manufacture of air and spacecraft and related machinery</t>
  </si>
  <si>
    <t>Luxembourg</t>
  </si>
  <si>
    <t>country:LU</t>
  </si>
  <si>
    <t xml:space="preserve">    05 01 14 - Non-Hazardous - Wastes from cooling columns</t>
  </si>
  <si>
    <t>THB</t>
  </si>
  <si>
    <t>C - 13 Manufacture of textiles</t>
  </si>
  <si>
    <t>NACE_C13</t>
  </si>
  <si>
    <t>NACE C - 30.4 Manufacture of military fighting vehicles</t>
  </si>
  <si>
    <t>Latvia</t>
  </si>
  <si>
    <t>country:LV</t>
  </si>
  <si>
    <t xml:space="preserve">    05 01 15 - Hazardous - Spent filter clays</t>
  </si>
  <si>
    <t>TJS</t>
  </si>
  <si>
    <t>C - 13.1 Preparation and spinning of textile fibres</t>
  </si>
  <si>
    <t>NACE_C131</t>
  </si>
  <si>
    <t>NACE C - 30.9 Manufacture of transport equipment n.e.c.</t>
  </si>
  <si>
    <t>Libya</t>
  </si>
  <si>
    <t>country:LY</t>
  </si>
  <si>
    <t xml:space="preserve">    05 01 16 - Non-Hazardous - Sulphur-containing wastes from petroleum desulphurisation</t>
  </si>
  <si>
    <t>TMT</t>
  </si>
  <si>
    <t>C - 13.10 Preparation and spinning of textile fibres</t>
  </si>
  <si>
    <t>NACE_C1310</t>
  </si>
  <si>
    <t>NACE C - 31 Manufacture of furniture</t>
  </si>
  <si>
    <t>Morocco</t>
  </si>
  <si>
    <t>country:MA</t>
  </si>
  <si>
    <t xml:space="preserve">    05 01 17 - Non-Hazardous - Bitumen</t>
  </si>
  <si>
    <t>TND</t>
  </si>
  <si>
    <t>C - 13.2 Weaving of textiles</t>
  </si>
  <si>
    <t>NACE_C132</t>
  </si>
  <si>
    <t>NACE C - 31.0 Manufacture of furniture</t>
  </si>
  <si>
    <t>Monaco</t>
  </si>
  <si>
    <t>country:MC</t>
  </si>
  <si>
    <t xml:space="preserve">    05 01 99 - Non-Hazardous - Wastes not otherwise specified</t>
  </si>
  <si>
    <t>TOP</t>
  </si>
  <si>
    <t>C - 13.20 Weaving of textiles</t>
  </si>
  <si>
    <t>NACE_C1320</t>
  </si>
  <si>
    <t>NACE C - 32 Other manufacturing</t>
  </si>
  <si>
    <t>Moldova (the Republic of)</t>
  </si>
  <si>
    <t>country:MD</t>
  </si>
  <si>
    <t xml:space="preserve">  05 06 - Wastes from the pyrolytic treatment of coal</t>
  </si>
  <si>
    <t>TRY</t>
  </si>
  <si>
    <t>C - 13.3 Finishing of textiles</t>
  </si>
  <si>
    <t>NACE_C133</t>
  </si>
  <si>
    <t>NACE C - 32.1 Manufacture of jewellery, bijouterie and related articles</t>
  </si>
  <si>
    <t>Montenegro</t>
  </si>
  <si>
    <t>country:ME</t>
  </si>
  <si>
    <t xml:space="preserve">    05 06 01 - Hazardous - Acid tars</t>
  </si>
  <si>
    <t>TTD</t>
  </si>
  <si>
    <t>C - 13.30 Finishing of textiles</t>
  </si>
  <si>
    <t>NACE_C1330</t>
  </si>
  <si>
    <t>NACE C - 32.2 Manufacture of musical instruments</t>
  </si>
  <si>
    <t>Saint Martin (French part)</t>
  </si>
  <si>
    <t>country:MF</t>
  </si>
  <si>
    <t xml:space="preserve">    05 06 03 - Hazardous - Other tars</t>
  </si>
  <si>
    <t>TWD</t>
  </si>
  <si>
    <t>C - 13.9 Manufacture of other textiles</t>
  </si>
  <si>
    <t>NACE_C139</t>
  </si>
  <si>
    <t>NACE C - 32.3 Manufacture of sports goods</t>
  </si>
  <si>
    <t>Madagascar</t>
  </si>
  <si>
    <t>country:MG</t>
  </si>
  <si>
    <t xml:space="preserve">    05 06 04 - Non-Hazardous - Waste from cooling columns</t>
  </si>
  <si>
    <t>TZS</t>
  </si>
  <si>
    <t>C - 13.91 Manufacture of knitted and crocheted fabrics</t>
  </si>
  <si>
    <t>NACE_C1391</t>
  </si>
  <si>
    <t>NACE C - 32.4 Manufacture of games and toys</t>
  </si>
  <si>
    <t>Marshall Islands</t>
  </si>
  <si>
    <t>country:MH</t>
  </si>
  <si>
    <t xml:space="preserve">    05 06 99 - Non-Hazardous - Wastes not otherwise specified</t>
  </si>
  <si>
    <t>UAH</t>
  </si>
  <si>
    <t>C - 13.92 Manufacture of household textiles and made-up furnishing articles</t>
  </si>
  <si>
    <t>NACE_C1392</t>
  </si>
  <si>
    <t>NACE C - 32.5 Manufacture of medical and dental instruments and supplies</t>
  </si>
  <si>
    <t>North Macedonia</t>
  </si>
  <si>
    <t>country:MK</t>
  </si>
  <si>
    <t xml:space="preserve">  05 07 - Wastes from natural gas purification and transportation</t>
  </si>
  <si>
    <t>UGX</t>
  </si>
  <si>
    <t>C - 13.93 Manufacture of carpets and rugs</t>
  </si>
  <si>
    <t>NACE_C1393</t>
  </si>
  <si>
    <t>NACE C - 32.9 Manufacturing n.e.c.</t>
  </si>
  <si>
    <t>Mali</t>
  </si>
  <si>
    <t>country:ML</t>
  </si>
  <si>
    <t xml:space="preserve">    05 07 01 - Hazardous - Wastes containing mercury</t>
  </si>
  <si>
    <t>USD</t>
  </si>
  <si>
    <t>C - 13.94 Manufacture of cordage, rope, twine and netting</t>
  </si>
  <si>
    <t>NACE_C1394</t>
  </si>
  <si>
    <t>NACE C - 33 Repair, maintenance and installation of machinery and equipment</t>
  </si>
  <si>
    <t>Myanmar</t>
  </si>
  <si>
    <t>country:MM</t>
  </si>
  <si>
    <t xml:space="preserve">    05 07 02 - Non-Hazardous - Wastes containing sulphur</t>
  </si>
  <si>
    <t>UYI</t>
  </si>
  <si>
    <t>C - 13.95 Manufacture of non-wovens and non-woven articles</t>
  </si>
  <si>
    <t>NACE_C1395</t>
  </si>
  <si>
    <t>NACE C - 33.1 Repair and maintenance of fabricated metal products, machinery and equipment</t>
  </si>
  <si>
    <t>Mongolia</t>
  </si>
  <si>
    <t>country:MN</t>
  </si>
  <si>
    <t xml:space="preserve">    05 07 99 - Non-Hazardous - Wastes not otherwise specified</t>
  </si>
  <si>
    <t>UYU</t>
  </si>
  <si>
    <t>C - 13.96 Manufacture of other technical and industrial textiles</t>
  </si>
  <si>
    <t>NACE_C1396</t>
  </si>
  <si>
    <t>NACE C - 33.2 Installation of industrial machinery and equipment</t>
  </si>
  <si>
    <t>Macao</t>
  </si>
  <si>
    <t>country:MO</t>
  </si>
  <si>
    <t>06 - WASTES FROM INORGANIC CHEMICAL PROCESSES</t>
  </si>
  <si>
    <t>UZS</t>
  </si>
  <si>
    <t>C - 13.99 Manufacture of other textiles n.e.c.</t>
  </si>
  <si>
    <t>NACE_C1399</t>
  </si>
  <si>
    <t>NACE C - MANUFACTURING</t>
  </si>
  <si>
    <t>Northern Mariana Islands</t>
  </si>
  <si>
    <t>country:MP</t>
  </si>
  <si>
    <t xml:space="preserve">  06 01 - Wastes from the manufacture, formulation, supply and use (MFSU) of acids</t>
  </si>
  <si>
    <t>VES</t>
  </si>
  <si>
    <t>C - 14 Manufacture of wearing apparel</t>
  </si>
  <si>
    <t>NACE_C14</t>
  </si>
  <si>
    <t>NACE D - 35 Electricity, gas, steam and air conditioning supply</t>
  </si>
  <si>
    <t>Martinique</t>
  </si>
  <si>
    <t>country:MQ</t>
  </si>
  <si>
    <t xml:space="preserve">    06 01 01 - Hazardous - Sulphuric acid and sulphurous acid</t>
  </si>
  <si>
    <t>VND</t>
  </si>
  <si>
    <t>C - 14.1 Manufacture of knitted and crocheted apparel</t>
  </si>
  <si>
    <t>NACE_C141</t>
  </si>
  <si>
    <t>NACE D - 35.1 Electric power generation, transmission and distribution</t>
  </si>
  <si>
    <t>Mauritania</t>
  </si>
  <si>
    <t>country:MR</t>
  </si>
  <si>
    <t xml:space="preserve">    06 01 02 - Hazardous - Hydrochloric acid</t>
  </si>
  <si>
    <t>VUV</t>
  </si>
  <si>
    <t>C - 14.10 Manufacture of knitted and crocheted apparel</t>
  </si>
  <si>
    <t>NACE_C1410</t>
  </si>
  <si>
    <t>NACE D - 35.2 Manufacture of gas, and distribution of gaseous fuels through mains</t>
  </si>
  <si>
    <t>Montserrat</t>
  </si>
  <si>
    <t>country:MS</t>
  </si>
  <si>
    <t xml:space="preserve">    06 01 03 - Hazardous - Hydrofluoric acid</t>
  </si>
  <si>
    <t>WST</t>
  </si>
  <si>
    <t>C - 14.2 Manufacture of other wearing apparel and accessories</t>
  </si>
  <si>
    <t>NACE_C142</t>
  </si>
  <si>
    <t>NACE D - 35.3 Steam and air conditioning supply</t>
  </si>
  <si>
    <t>Malta</t>
  </si>
  <si>
    <t>country:MT</t>
  </si>
  <si>
    <t xml:space="preserve">    06 01 04 - Hazardous - Phosphoric and phosphorous acid</t>
  </si>
  <si>
    <t>XAF</t>
  </si>
  <si>
    <t>C - 14.21 Manufacture of outerwear</t>
  </si>
  <si>
    <t>NACE_C1421</t>
  </si>
  <si>
    <t>NACE D - 35.4 Activities of brokers and agents for electric power and natural gas</t>
  </si>
  <si>
    <t>Mauritius</t>
  </si>
  <si>
    <t>country:MU</t>
  </si>
  <si>
    <t xml:space="preserve">    06 01 05 - Hazardous - Nitric acid and nitrous acid</t>
  </si>
  <si>
    <t>XAG</t>
  </si>
  <si>
    <t>C - 14.22 Manufacture of underwear</t>
  </si>
  <si>
    <t>NACE_C1422</t>
  </si>
  <si>
    <t>NACE D - ELECTRICITY, GAS, STEAM AND AIR CONDITIONING SUPPLY</t>
  </si>
  <si>
    <t>Maldives</t>
  </si>
  <si>
    <t>country:MV</t>
  </si>
  <si>
    <t xml:space="preserve">    06 01 06 - Hazardous - Other acids</t>
  </si>
  <si>
    <t>XAU</t>
  </si>
  <si>
    <t>C - 14.23 Manufacture of workwear</t>
  </si>
  <si>
    <t>NACE_C1423</t>
  </si>
  <si>
    <t>NACE E - 36 Water collection, treatment and supply</t>
  </si>
  <si>
    <t>Malawi</t>
  </si>
  <si>
    <t>country:MW</t>
  </si>
  <si>
    <t xml:space="preserve">    06 01 99 - Non-Hazardous - Wastes not otherwise specified</t>
  </si>
  <si>
    <t>XCD</t>
  </si>
  <si>
    <t>C - 14.24 Manufacture of leather clothes and fur apparel</t>
  </si>
  <si>
    <t>NACE_C1424</t>
  </si>
  <si>
    <t>NACE E - 36.0 Water collection, treatment and supply</t>
  </si>
  <si>
    <t>Mexico</t>
  </si>
  <si>
    <t>country:MX</t>
  </si>
  <si>
    <t xml:space="preserve">  06 02 - Wastes from the MFSU of bases</t>
  </si>
  <si>
    <t>XDR</t>
  </si>
  <si>
    <t>C - 14.29 Manufacture of other wearing apparel and accessories n.e.c.</t>
  </si>
  <si>
    <t>NACE_C1429</t>
  </si>
  <si>
    <t>NACE E - 37 Sewerage</t>
  </si>
  <si>
    <t>Malaysia</t>
  </si>
  <si>
    <t>country:MY</t>
  </si>
  <si>
    <t xml:space="preserve">    06 02 01 - Hazardous - Calcium hydroxide</t>
  </si>
  <si>
    <t>XOF</t>
  </si>
  <si>
    <t>C - 15 Manufacture of leather and related products of other materials</t>
  </si>
  <si>
    <t>NACE_C15</t>
  </si>
  <si>
    <t>NACE E - 37.0 Sewerage</t>
  </si>
  <si>
    <t>Mozambique</t>
  </si>
  <si>
    <t>country:MZ</t>
  </si>
  <si>
    <t xml:space="preserve">    06 02 03 - Hazardous - Ammonium hydroxide</t>
  </si>
  <si>
    <t>XPD</t>
  </si>
  <si>
    <t>C - 15.1 Tanning, dyeing, dressing of leather and fur; manufacture of luggage, handbags, saddlery and harness</t>
  </si>
  <si>
    <t>NACE_C151</t>
  </si>
  <si>
    <t>NACE E - 38 Waste collection, recovery and disposal activities</t>
  </si>
  <si>
    <t>Namibia</t>
  </si>
  <si>
    <t>country:NA</t>
  </si>
  <si>
    <t xml:space="preserve">    06 02 04 - Hazardous - Sodium and potassium hydroxide</t>
  </si>
  <si>
    <t>XPF</t>
  </si>
  <si>
    <t>C - 15.11 Tanning, dressing, dyeing of leather and fur</t>
  </si>
  <si>
    <t>NACE_C1511</t>
  </si>
  <si>
    <t>NACE E - 38.1 Waste collection</t>
  </si>
  <si>
    <t>New Caledonia</t>
  </si>
  <si>
    <t>country:NC</t>
  </si>
  <si>
    <t xml:space="preserve">    06 02 05 - Hazardous - Other bases</t>
  </si>
  <si>
    <t>XPT</t>
  </si>
  <si>
    <t>C - 15.12 Manufacture of luggage, handbags, saddlery and harness of any material</t>
  </si>
  <si>
    <t>NACE_C1512</t>
  </si>
  <si>
    <t>NACE E - 38.2 Waste recovery</t>
  </si>
  <si>
    <t>Niger</t>
  </si>
  <si>
    <t>country:NE</t>
  </si>
  <si>
    <t xml:space="preserve">    06 02 99 - Non-Hazardous - Wastes not otherwise specified</t>
  </si>
  <si>
    <t>XSU</t>
  </si>
  <si>
    <t>C - 15.2 Manufacture of footwear</t>
  </si>
  <si>
    <t>NACE_C152</t>
  </si>
  <si>
    <t>NACE E - 38.3 Waste disposal without recovery</t>
  </si>
  <si>
    <t>Norfolk Island</t>
  </si>
  <si>
    <t>country:NF</t>
  </si>
  <si>
    <t xml:space="preserve">  06 03 - Wastes from the MFSU of salts and their solutions and metallic oxides</t>
  </si>
  <si>
    <t>XUA</t>
  </si>
  <si>
    <t>C - 15.20 Manufacture of footwear</t>
  </si>
  <si>
    <t>NACE_C1520</t>
  </si>
  <si>
    <t>NACE E - 39 Remediation activities and other waste management service activities</t>
  </si>
  <si>
    <t>Nigeria</t>
  </si>
  <si>
    <t>country:NG</t>
  </si>
  <si>
    <t xml:space="preserve">    06 03 11 - Hazardous - Solid salts and solutions containing cyanides</t>
  </si>
  <si>
    <t>YER</t>
  </si>
  <si>
    <t>C - 16 Manufacture of wood and of products of wood and cork, except furniture; manufacture of articles of straw and plaiting materials</t>
  </si>
  <si>
    <t>NACE_C16</t>
  </si>
  <si>
    <t>NACE E - 39.0 Remediation activities and other waste management service activities</t>
  </si>
  <si>
    <t>Nicaragua</t>
  </si>
  <si>
    <t>country:NI</t>
  </si>
  <si>
    <t xml:space="preserve">    06 03 13 - Hazardous - Solid salts and solutions containing heavy metals</t>
  </si>
  <si>
    <t>ZAR</t>
  </si>
  <si>
    <t>C - 16.1 Sawmilling and planing of wood; processing and finishing of wood</t>
  </si>
  <si>
    <t>NACE_C161</t>
  </si>
  <si>
    <t>NACE E - WATER SUPPLY; SEWERAGE, WASTE MANAGEMENT AND REMEDIATION ACTIVITIES</t>
  </si>
  <si>
    <t>country:NL</t>
  </si>
  <si>
    <t xml:space="preserve">    06 03 14 - Non-Hazardous - Solid salts and solutions other than those mentioned in 06 03 11 and 06 03 13</t>
  </si>
  <si>
    <t>ZMW</t>
  </si>
  <si>
    <t>C - 16.11 Sawmilling and planing of wood</t>
  </si>
  <si>
    <t>NACE_C1611</t>
  </si>
  <si>
    <t>NACE F - 41 Construction of residential and non-residential buildings</t>
  </si>
  <si>
    <t>Norway</t>
  </si>
  <si>
    <t>country:NO</t>
  </si>
  <si>
    <t xml:space="preserve">    06 03 15 - Hazardous - Metallic oxides containing heavy metals</t>
  </si>
  <si>
    <t>C - 16.12 Processing and finishing of wood</t>
  </si>
  <si>
    <t>NACE_C1612</t>
  </si>
  <si>
    <t>NACE F - 41.0 Construction of residential and non-residential buildings</t>
  </si>
  <si>
    <t>Nepal</t>
  </si>
  <si>
    <t>country:NP</t>
  </si>
  <si>
    <t xml:space="preserve">    06 03 16 - Non-Hazardous - Metallic oxides other than those mentioned in 06 03 15</t>
  </si>
  <si>
    <t>C - 16.2 Manufacture of products of wood, cork, straw and plaiting materials</t>
  </si>
  <si>
    <t>NACE_C162</t>
  </si>
  <si>
    <t>NACE F - 42 Civil engineering</t>
  </si>
  <si>
    <t>Nauru</t>
  </si>
  <si>
    <t>country:NR</t>
  </si>
  <si>
    <t xml:space="preserve">    06 03 99 - Non-Hazardous - Wastes not otherwise specified</t>
  </si>
  <si>
    <t>C - 16.21 Manufacture of veneer sheets and wood-based panels</t>
  </si>
  <si>
    <t>NACE_C1621</t>
  </si>
  <si>
    <t>NACE F - 42.1 Construction of roads and railways</t>
  </si>
  <si>
    <t>Neutral Zone (before 1993-07-12)</t>
  </si>
  <si>
    <t>country:NT</t>
  </si>
  <si>
    <t xml:space="preserve">  06 04 - Metal-containing wastes other than those mentioned in 06 03</t>
  </si>
  <si>
    <t>C - 16.22 Manufacture of assembled parquet floors</t>
  </si>
  <si>
    <t>NACE_C1622</t>
  </si>
  <si>
    <t>NACE F - 42.2 Construction of utility projects</t>
  </si>
  <si>
    <t>Niue</t>
  </si>
  <si>
    <t>country:NU</t>
  </si>
  <si>
    <t xml:space="preserve">    06 04 03 - Hazardous - Wastes containing arsenic</t>
  </si>
  <si>
    <t>C - 16.23 Manufacture of other builders’ carpentry and joinery</t>
  </si>
  <si>
    <t>NACE_C1623</t>
  </si>
  <si>
    <t>NACE F - 42.9 Construction of other civil engineering projects</t>
  </si>
  <si>
    <t>New Zealand</t>
  </si>
  <si>
    <t>country:NZ</t>
  </si>
  <si>
    <t xml:space="preserve">    06 04 04 - Hazardous - Wastes containing mercury</t>
  </si>
  <si>
    <t>C - 16.24 Manufacture of wooden containers</t>
  </si>
  <si>
    <t>NACE_C1624</t>
  </si>
  <si>
    <t>NACE F - 43 Specialised construction activities</t>
  </si>
  <si>
    <t>Oman</t>
  </si>
  <si>
    <t>country:OM</t>
  </si>
  <si>
    <t xml:space="preserve">    06 04 05 - Hazardous - Wastes containing other heavy metals</t>
  </si>
  <si>
    <t>C - 16.25 Manufacture of doors and windows of wood</t>
  </si>
  <si>
    <t>NACE_C1625</t>
  </si>
  <si>
    <t>NACE F - 43.1 Demolition and site preparation</t>
  </si>
  <si>
    <t>Panama</t>
  </si>
  <si>
    <t>country:PA</t>
  </si>
  <si>
    <t xml:space="preserve">    06 04 99 - Non-Hazardous - Wastes not otherwise specified</t>
  </si>
  <si>
    <t>C - 16.26 Manufacture of solid fuels from vegetable biomass</t>
  </si>
  <si>
    <t>NACE_C1626</t>
  </si>
  <si>
    <t>NACE F - 43.2 Electrical, plumbing and other construction installation activities</t>
  </si>
  <si>
    <t>Peru</t>
  </si>
  <si>
    <t>country:PE</t>
  </si>
  <si>
    <t xml:space="preserve">  06 05 - Sludges from on-site effluent treatment</t>
  </si>
  <si>
    <t>C - 16.27 Finishing of wooden products</t>
  </si>
  <si>
    <t>NACE_C1627</t>
  </si>
  <si>
    <t>NACE F - 43.3 Building completion and finishing</t>
  </si>
  <si>
    <t>French Polynesia</t>
  </si>
  <si>
    <t>country:PF</t>
  </si>
  <si>
    <t xml:space="preserve">    06 05 02 - Hazardous - Sludges from on-site effluent treatment containing hazardous substances</t>
  </si>
  <si>
    <t>C - 16.28 Manufacture of other products of wood and articles of cork, straw and plaiting materials</t>
  </si>
  <si>
    <t>NACE_C1628</t>
  </si>
  <si>
    <t>NACE F - 43.4 Specialised construction activities in construction of buildings</t>
  </si>
  <si>
    <t>Papua New Guinea</t>
  </si>
  <si>
    <t>country:PG</t>
  </si>
  <si>
    <t xml:space="preserve">    06 05 03 - Non-Hazardous - Sludges from on-site effluent treatment other than those mentioned in 06 05 02</t>
  </si>
  <si>
    <t>C - 17 Manufacture of paper and paper products</t>
  </si>
  <si>
    <t>NACE_C17</t>
  </si>
  <si>
    <t>NACE F - 43.5 Specialised construction activities in civil engineering</t>
  </si>
  <si>
    <t>Philippines</t>
  </si>
  <si>
    <t>country:PH</t>
  </si>
  <si>
    <t xml:space="preserve">  06 06 - Wastes from the MFSU of sulphur chemicals, sulphur chemical processes and desulphurisation processes</t>
  </si>
  <si>
    <t>C - 17.1 Manufacture of pulp, paper and paperboard</t>
  </si>
  <si>
    <t>NACE_C171</t>
  </si>
  <si>
    <t>NACE F - 43.6 Intermediation service activities for specialised construction services</t>
  </si>
  <si>
    <t>Pakistan</t>
  </si>
  <si>
    <t>country:PK</t>
  </si>
  <si>
    <t xml:space="preserve">    06 06 02 - Hazardous - Wastes containing hazardous sulphides</t>
  </si>
  <si>
    <t>C - 17.11 Manufacture of pulp</t>
  </si>
  <si>
    <t>NACE_C1711</t>
  </si>
  <si>
    <t>NACE F - 43.9 Other specialised construction activities</t>
  </si>
  <si>
    <t>Poland</t>
  </si>
  <si>
    <t>country:PL</t>
  </si>
  <si>
    <t xml:space="preserve">    06 06 03 - Non-Hazardous - Wastes containing sulphides other than those mentioned in 06 06 02</t>
  </si>
  <si>
    <t>C - 17.12 Manufacture of paper and paperboard</t>
  </si>
  <si>
    <t>NACE_C1712</t>
  </si>
  <si>
    <t>NACE F - CONSTRUCTION</t>
  </si>
  <si>
    <t>Saint Pierre and Miquelon</t>
  </si>
  <si>
    <t>country:PM</t>
  </si>
  <si>
    <t xml:space="preserve">    06 06 99 - Non-Hazardous - Wastes not otherwise specified</t>
  </si>
  <si>
    <t>C - 17.2 Manufacture of articles of paper and paperboard</t>
  </si>
  <si>
    <t>NACE_C172</t>
  </si>
  <si>
    <t>NACE G - 46 Wholesale trade</t>
  </si>
  <si>
    <t>Pitcairn</t>
  </si>
  <si>
    <t>country:PN</t>
  </si>
  <si>
    <t xml:space="preserve">  06 07 - Wastes from the MFSU of halogens and halogen chemical processes</t>
  </si>
  <si>
    <t>C - 17.21 Manufacture of corrugated paper, paperboard and containers of paper and paperboard</t>
  </si>
  <si>
    <t>NACE_C1721</t>
  </si>
  <si>
    <t>NACE G - 46.1 Wholesale on a fee or contract basis</t>
  </si>
  <si>
    <t>Puerto Rico</t>
  </si>
  <si>
    <t>country:PR</t>
  </si>
  <si>
    <t xml:space="preserve">    06 07 01 - Hazardous - Wastes containing asbestos from electrolysis</t>
  </si>
  <si>
    <t>C - 17.22 Manufacture of household and sanitary goods and of toilet requisites</t>
  </si>
  <si>
    <t>NACE_C1722</t>
  </si>
  <si>
    <t>NACE G - 46.2 Wholesale of agricultural raw materials and live animals</t>
  </si>
  <si>
    <t>Palestine, State of</t>
  </si>
  <si>
    <t>country:PS</t>
  </si>
  <si>
    <t xml:space="preserve">    06 07 02 - Hazardous - Activated carbon from chlorine production</t>
  </si>
  <si>
    <t>C - 17.23 Manufacture of paper stationery</t>
  </si>
  <si>
    <t>NACE_C1723</t>
  </si>
  <si>
    <t>NACE G - 46.3 Wholesale of food, beverages and tobacco</t>
  </si>
  <si>
    <t>Portugal</t>
  </si>
  <si>
    <t>country:PT</t>
  </si>
  <si>
    <t xml:space="preserve">    06 07 03 - Hazardous - Barium sulphate sludge containing mercury</t>
  </si>
  <si>
    <t>C - 17.24 Manufacture of wallpaper</t>
  </si>
  <si>
    <t>NACE_C1724</t>
  </si>
  <si>
    <t>NACE G - 46.4 Wholesale of household goods</t>
  </si>
  <si>
    <t>Palau</t>
  </si>
  <si>
    <t>country:PW</t>
  </si>
  <si>
    <t xml:space="preserve">    06 07 04 - Hazardous - Solutions and acids, for example contact acid</t>
  </si>
  <si>
    <t>C - 17.25 Manufacture of other articles of paper and paperboard</t>
  </si>
  <si>
    <t>NACE_C1725</t>
  </si>
  <si>
    <t>NACE G - 46.5 Wholesale of information and communication equipment</t>
  </si>
  <si>
    <t>Paraguay</t>
  </si>
  <si>
    <t>country:PY</t>
  </si>
  <si>
    <t xml:space="preserve">    06 07 99 - Non-Hazardous - Wastes not otherwise specified</t>
  </si>
  <si>
    <t>C - 18 Printing and reproduction of recorded media</t>
  </si>
  <si>
    <t>NACE_C18</t>
  </si>
  <si>
    <t>NACE G - 46.6 Wholesale of other machinery, equipment and supplies</t>
  </si>
  <si>
    <t>Qatar</t>
  </si>
  <si>
    <t>country:QA</t>
  </si>
  <si>
    <t xml:space="preserve">  06 08 - Wastes from the MFSU of silicon and silicon derivatives</t>
  </si>
  <si>
    <t>C - 18.1 Printing and service activities related to printing</t>
  </si>
  <si>
    <t>NACE_C181</t>
  </si>
  <si>
    <t>NACE G - 46.7 Wholesale of motor vehicles, motorcycles and related parts and accessories</t>
  </si>
  <si>
    <t>Réunion</t>
  </si>
  <si>
    <t>country:RE</t>
  </si>
  <si>
    <t xml:space="preserve">    06 08 02 - Hazardous - Waste containing hazardous chlorosilanes</t>
  </si>
  <si>
    <t>C - 18.11 Printing of newspapers</t>
  </si>
  <si>
    <t>NACE_C1811</t>
  </si>
  <si>
    <t>NACE G - 46.8 Other specialised wholesale</t>
  </si>
  <si>
    <t>Romania</t>
  </si>
  <si>
    <t>country:RO</t>
  </si>
  <si>
    <t xml:space="preserve">    06 08 99 - Non-Hazardous - Wastes not otherwise specified</t>
  </si>
  <si>
    <t>C - 18.12 Other printing</t>
  </si>
  <si>
    <t>NACE_C1812</t>
  </si>
  <si>
    <t>NACE G - 46.9 Non-specialised wholesale trade</t>
  </si>
  <si>
    <t>Serbia</t>
  </si>
  <si>
    <t>country:RS</t>
  </si>
  <si>
    <t xml:space="preserve">  06 09 - Wastes from the MSFU of phosphorous chemicals and phosphorous chemical processes</t>
  </si>
  <si>
    <t>C - 18.13 Pre-press and pre-media services</t>
  </si>
  <si>
    <t>NACE_C1813</t>
  </si>
  <si>
    <t>NACE G - 47 Retail trade</t>
  </si>
  <si>
    <t>Russian Federation</t>
  </si>
  <si>
    <t>country:RU</t>
  </si>
  <si>
    <t xml:space="preserve">    06 09 02 - Non-Hazardous - Phosphorous slag</t>
  </si>
  <si>
    <t>C - 18.14 Binding and related services</t>
  </si>
  <si>
    <t>NACE_C1814</t>
  </si>
  <si>
    <t>NACE G - 47.1 Non-specialised retail sale</t>
  </si>
  <si>
    <t>Rwanda</t>
  </si>
  <si>
    <t>country:RW</t>
  </si>
  <si>
    <t xml:space="preserve">    06 09 03 - Hazardous - Calcium-based reaction wastes containing or contaminated with hazardous substances</t>
  </si>
  <si>
    <t>C - 18.2 Reproduction of recorded media</t>
  </si>
  <si>
    <t>NACE_C182</t>
  </si>
  <si>
    <t>NACE G - 47.2 Retail sale of food, beverages and tobacco</t>
  </si>
  <si>
    <t>Saudi Arabia</t>
  </si>
  <si>
    <t>country:SA</t>
  </si>
  <si>
    <t xml:space="preserve">    06 09 04 - Non-Hazardous - Calcium-based reaction wastes other than those mentioned in 06 09 03</t>
  </si>
  <si>
    <t>C - 18.20 Reproduction of recorded media</t>
  </si>
  <si>
    <t>NACE_C1820</t>
  </si>
  <si>
    <t>NACE G - 47.3 Retail sale of automotive fuel</t>
  </si>
  <si>
    <t>Solomon Islands</t>
  </si>
  <si>
    <t>country:SB</t>
  </si>
  <si>
    <t xml:space="preserve">    06 09 99 - Non-Hazardous - Wastes not otherwise specified</t>
  </si>
  <si>
    <t>C - 19 Manufacture of coke and refined petroleum products</t>
  </si>
  <si>
    <t>NACE_C19</t>
  </si>
  <si>
    <t>NACE G - 47.4 Retail sale of information and communication equipment</t>
  </si>
  <si>
    <t>Seychelles</t>
  </si>
  <si>
    <t>country:SC</t>
  </si>
  <si>
    <t xml:space="preserve">  06 10 - Wastes from the MFSU of nitrogen chemicals, nitrogen chemical processes and fertiliser manufacture</t>
  </si>
  <si>
    <t>C - 19.1 Manufacture of coke oven products</t>
  </si>
  <si>
    <t>NACE_C191</t>
  </si>
  <si>
    <t>NACE G - 47.5 Retail sale of other household equipment</t>
  </si>
  <si>
    <t>Sudan</t>
  </si>
  <si>
    <t>country:SD</t>
  </si>
  <si>
    <t xml:space="preserve">    06 10 02 - Hazardous - Wastes containing hazardous substances</t>
  </si>
  <si>
    <t>C - 19.10 Manufacture of coke oven products</t>
  </si>
  <si>
    <t>NACE_C1910</t>
  </si>
  <si>
    <t>NACE G - 47.6 Retail sale of cultural and recreation goods</t>
  </si>
  <si>
    <t>Sweden</t>
  </si>
  <si>
    <t>country:SE</t>
  </si>
  <si>
    <t xml:space="preserve">    06 10 99 - Non-Hazardous - Wastes not otherwise specified</t>
  </si>
  <si>
    <t>C - 19.2 Manufacture of refined petroleum products and fossil fuel products</t>
  </si>
  <si>
    <t>NACE_C192</t>
  </si>
  <si>
    <t>NACE G - 47.7 Retail sale of other goods, except motor vehicles and motorcycles</t>
  </si>
  <si>
    <t>Singapore</t>
  </si>
  <si>
    <t>country:SG</t>
  </si>
  <si>
    <t xml:space="preserve">  06 11 - Wastes from the manufacture of inorganic pigments and opacificiers</t>
  </si>
  <si>
    <t>C - 19.20 Manufacture of refined petroleum products and fossil fuel products</t>
  </si>
  <si>
    <t>NACE_C1920</t>
  </si>
  <si>
    <t>NACE G - 47.8 Retail sale of motor vehicles, motorcycles and related parts and accessories</t>
  </si>
  <si>
    <t>Saint Helena, Ascension and Tristan da Cunha</t>
  </si>
  <si>
    <t>country:SH</t>
  </si>
  <si>
    <t xml:space="preserve">    06 11 01 - Non-Hazardous - Calcium-based reaction wastes from titanium dioxide production</t>
  </si>
  <si>
    <t>C - 20 Manufacture of chemicals and chemical products</t>
  </si>
  <si>
    <t>NACE_C20</t>
  </si>
  <si>
    <t>NACE G - 47.9 Intermediation service activities for retail sale</t>
  </si>
  <si>
    <t>Slovenia</t>
  </si>
  <si>
    <t>country:SI</t>
  </si>
  <si>
    <t xml:space="preserve">    06 11 99 - Non-Hazardous - Wastes not otherwise specified</t>
  </si>
  <si>
    <t>C - 20.1 Manufacture of basic chemicals, fertilisers and nitrogen compounds, plastics and synthetic rubber in primary forms</t>
  </si>
  <si>
    <t>NACE_C201</t>
  </si>
  <si>
    <t>NACE G - WHOLESALE AND RETAIL TRADE</t>
  </si>
  <si>
    <t>Svalbard and Jan Mayen</t>
  </si>
  <si>
    <t>country:SJ</t>
  </si>
  <si>
    <t xml:space="preserve">  06 13 - Wastes from inorganic chemical processes not otherwise specified</t>
  </si>
  <si>
    <t>C - 20.11 Manufacture of industrial gases</t>
  </si>
  <si>
    <t>NACE_C2011</t>
  </si>
  <si>
    <t>NACE H - 49 Land transport and transport via pipelines</t>
  </si>
  <si>
    <t>Slovakia</t>
  </si>
  <si>
    <t>country:SK</t>
  </si>
  <si>
    <t xml:space="preserve">    06 13 01 - Hazardous - Inorganic plant protection products, wood-preserving agents and other biocides.</t>
  </si>
  <si>
    <t>C - 20.12 Manufacture of dyes and pigments</t>
  </si>
  <si>
    <t>NACE_C2012</t>
  </si>
  <si>
    <t>NACE H - 49.1 Passenger rail transport</t>
  </si>
  <si>
    <t>Sierra Leone</t>
  </si>
  <si>
    <t>country:SL</t>
  </si>
  <si>
    <t xml:space="preserve">    06 13 02 - Hazardous - Spent activated carbon (except 06 07 02)</t>
  </si>
  <si>
    <t>C - 20.13 Manufacture of other inorganic basic chemicals</t>
  </si>
  <si>
    <t>NACE_C2013</t>
  </si>
  <si>
    <t>NACE H - 49.2 Freight rail transport</t>
  </si>
  <si>
    <t>San Marino</t>
  </si>
  <si>
    <t>country:SM</t>
  </si>
  <si>
    <t xml:space="preserve">    06 13 03 - Non-Hazardous - Carbon black</t>
  </si>
  <si>
    <t>C - 20.14 Manufacture of other organic basic chemicals</t>
  </si>
  <si>
    <t>NACE_C2014</t>
  </si>
  <si>
    <t>NACE H - 49.3 Other passenger land transport</t>
  </si>
  <si>
    <t>Senegal</t>
  </si>
  <si>
    <t>country:SN</t>
  </si>
  <si>
    <t xml:space="preserve">    06 13 04 - Hazardous - Wastes from asbestos processing</t>
  </si>
  <si>
    <t>C - 20.15 Manufacture of fertilisers and nitrogen compounds</t>
  </si>
  <si>
    <t>NACE_C2015</t>
  </si>
  <si>
    <t>NACE H - 49.4 Freight transport by road and removal services</t>
  </si>
  <si>
    <t>Somalia</t>
  </si>
  <si>
    <t>country:SO</t>
  </si>
  <si>
    <t xml:space="preserve">    06 13 05 - Hazardous - Soot</t>
  </si>
  <si>
    <t>C - 20.16 Manufacture of plastics in primary forms</t>
  </si>
  <si>
    <t>NACE_C2016</t>
  </si>
  <si>
    <t>NACE H - 49.5 Transport via pipeline</t>
  </si>
  <si>
    <t>Suriname</t>
  </si>
  <si>
    <t>country:SR</t>
  </si>
  <si>
    <t xml:space="preserve">    06 13 99 - Non-Hazardous - Wastes not otherwise specified</t>
  </si>
  <si>
    <t>C - 20.17 Manufacture of synthetic rubber in primary forms</t>
  </si>
  <si>
    <t>NACE_C2017</t>
  </si>
  <si>
    <t>NACE H - 50 Water transport</t>
  </si>
  <si>
    <t>South Sudan</t>
  </si>
  <si>
    <t>country:SS</t>
  </si>
  <si>
    <t>07 - WASTES FROM ORGANIC CHEMICAL PROCESSES</t>
  </si>
  <si>
    <t>C - 20.2 Manufacture of pesticides, disinfectants and other agrochemical products</t>
  </si>
  <si>
    <t>NACE_C202</t>
  </si>
  <si>
    <t>NACE H - 50.1 Sea and coastal passenger water transport</t>
  </si>
  <si>
    <t>Sao Tome and Principe</t>
  </si>
  <si>
    <t>country:ST</t>
  </si>
  <si>
    <t xml:space="preserve">  07 01 - Wastes from the manufacture, formulation, supply and use (MFSU) of basic organic chemicals</t>
  </si>
  <si>
    <t>C - 20.20 Manufacture of pesticides, disinfectants and other agrochemical products</t>
  </si>
  <si>
    <t>NACE_C2020</t>
  </si>
  <si>
    <t>NACE H - 50.2 Sea and coastal freight water transport</t>
  </si>
  <si>
    <t>El Salvador</t>
  </si>
  <si>
    <t>country:SV</t>
  </si>
  <si>
    <t xml:space="preserve">    07 01 01 - Hazardous - Aqueous washing liquids and mother liquors</t>
  </si>
  <si>
    <t>C - 20.3 Manufacture of paints, varnishes and similar coatings, printing ink and mastics</t>
  </si>
  <si>
    <t>NACE_C203</t>
  </si>
  <si>
    <t>NACE H - 50.3 Inland passenger water transport</t>
  </si>
  <si>
    <t>Sint Maarten (Dutch part)</t>
  </si>
  <si>
    <t>country:SX</t>
  </si>
  <si>
    <t xml:space="preserve">    07 01 03 - Hazardous - Organic halogenated solvents, washing liquids and mother liquors</t>
  </si>
  <si>
    <t>C - 20.30 Manufacture of paints, varnishes and similar coatings, printing ink and mastics</t>
  </si>
  <si>
    <t>NACE_C2030</t>
  </si>
  <si>
    <t>NACE H - 50.4 Inland freight water transport</t>
  </si>
  <si>
    <t>Syrian Arab Republic</t>
  </si>
  <si>
    <t>country:SY</t>
  </si>
  <si>
    <t xml:space="preserve">    07 01 04 - Hazardous - Other organic solvents, washing liquids and mother liquors</t>
  </si>
  <si>
    <t>C - 20.4 Manufacture of washing, cleaning and polishing preparations</t>
  </si>
  <si>
    <t>NACE_C204</t>
  </si>
  <si>
    <t>NACE H - 51 Air transport</t>
  </si>
  <si>
    <t>Eswatini</t>
  </si>
  <si>
    <t>country:SZ</t>
  </si>
  <si>
    <t xml:space="preserve">    07 01 07 - Hazardous - Halogenated still bottoms and reaction residues</t>
  </si>
  <si>
    <t>C - 20.41 Manufacture of soap and detergents, cleaning and polishing preparations</t>
  </si>
  <si>
    <t>NACE_C2041</t>
  </si>
  <si>
    <t>NACE H - 51.1 Passenger air transport</t>
  </si>
  <si>
    <t>Turks and Caicos Islands</t>
  </si>
  <si>
    <t>country:TC</t>
  </si>
  <si>
    <t xml:space="preserve">    07 01 08 - Hazardous - Other still bottoms and reaction residues</t>
  </si>
  <si>
    <t>C - 20.42 Manufacture of perfume and toilet preparations</t>
  </si>
  <si>
    <t>NACE_C2042</t>
  </si>
  <si>
    <t>NACE H - 51.2 Freight air transport and space transport</t>
  </si>
  <si>
    <t>Chad</t>
  </si>
  <si>
    <t>country:TD</t>
  </si>
  <si>
    <t xml:space="preserve">    07 01 09 - Hazardous - Halogenated filter cakes and spent absorbents</t>
  </si>
  <si>
    <t>C - 20.5 Manufacture of other chemical products</t>
  </si>
  <si>
    <t>NACE_C205</t>
  </si>
  <si>
    <t>NACE H - 52 Warehousing, storage and support activities for transportation</t>
  </si>
  <si>
    <t>French Southern Territories</t>
  </si>
  <si>
    <t>country:TF</t>
  </si>
  <si>
    <t xml:space="preserve">    07 01 10 - Hazardous - Other filter cakes and spent absorbents</t>
  </si>
  <si>
    <t>C - 20.51 Manufacture of liquid biofuels</t>
  </si>
  <si>
    <t>NACE_C2051</t>
  </si>
  <si>
    <t>NACE H - 52.1 Warehousing and storage</t>
  </si>
  <si>
    <t>Togo</t>
  </si>
  <si>
    <t>country:TG</t>
  </si>
  <si>
    <t xml:space="preserve">    07 01 11 - Hazardous - Sludges from on-site effluent treatment containing hazardous substances</t>
  </si>
  <si>
    <t>C - 20.59 Manufacture of other chemical products n.e.c.</t>
  </si>
  <si>
    <t>NACE_C2059</t>
  </si>
  <si>
    <t>NACE H - 52.2 Support activities for transportation</t>
  </si>
  <si>
    <t>Thailand</t>
  </si>
  <si>
    <t>country:TH</t>
  </si>
  <si>
    <t xml:space="preserve">    07 01 12 - Non-Hazardous - Sludges from on-site effluent treatment other than those mentioned in 07 01 11</t>
  </si>
  <si>
    <t>C - 20.6 Manufacture of man-made fibres</t>
  </si>
  <si>
    <t>NACE_C206</t>
  </si>
  <si>
    <t>NACE H - 52.3 Intermediation service activities for transportation</t>
  </si>
  <si>
    <t>Tajikistan</t>
  </si>
  <si>
    <t>country:TJ</t>
  </si>
  <si>
    <t xml:space="preserve">    07 01 99 - Non-Hazardous - Wastes not otherwise specified</t>
  </si>
  <si>
    <t>C - 20.60 Manufacture of man-made fibres</t>
  </si>
  <si>
    <t>NACE_C2060</t>
  </si>
  <si>
    <t>NACE H - 53 Postal and courier activities</t>
  </si>
  <si>
    <t>Tokelau</t>
  </si>
  <si>
    <t>country:TK</t>
  </si>
  <si>
    <t xml:space="preserve">  07 02 - Wastes from the MFSU of plastics, synthetic rubber and man-made fibres</t>
  </si>
  <si>
    <t>C - 21 Manufacture of basic pharmaceutical products and pharmaceutical preparations</t>
  </si>
  <si>
    <t>NACE_C21</t>
  </si>
  <si>
    <t>NACE H - 53.1 Postal activities under universal service obligation</t>
  </si>
  <si>
    <t>Timor-Leste</t>
  </si>
  <si>
    <t>country:TL</t>
  </si>
  <si>
    <t xml:space="preserve">    07 02 01 - Hazardous - Aqueous washing liquids and mother liquors</t>
  </si>
  <si>
    <t>C - 21.1 Manufacture of basic pharmaceutical products</t>
  </si>
  <si>
    <t>NACE_C211</t>
  </si>
  <si>
    <t>NACE H - 53.2 Other postal and courier activities</t>
  </si>
  <si>
    <t>Turkmenistan</t>
  </si>
  <si>
    <t>country:TM</t>
  </si>
  <si>
    <t xml:space="preserve">    07 02 03 - Hazardous - Organic halogenated solvents, washing liquids and mother liquors</t>
  </si>
  <si>
    <t>C - 21.10 Manufacture of basic pharmaceutical products</t>
  </si>
  <si>
    <t>NACE_C2110</t>
  </si>
  <si>
    <t>NACE H - 53.3 Intermediation service activities for postal and courier activities</t>
  </si>
  <si>
    <t>Tunisia</t>
  </si>
  <si>
    <t>country:TN</t>
  </si>
  <si>
    <t xml:space="preserve">    07 02 04 - Hazardous - Other organic solvents, washing liquids and mother liquors</t>
  </si>
  <si>
    <t>C - 21.2 Manufacture of pharmaceutical preparations</t>
  </si>
  <si>
    <t>NACE_C212</t>
  </si>
  <si>
    <t>NACE H - TRANSPORTATION AND STORAGE</t>
  </si>
  <si>
    <t>Tonga</t>
  </si>
  <si>
    <t>country:TO</t>
  </si>
  <si>
    <t xml:space="preserve">    07 02 07 - Hazardous - Halogenated still bottoms and reaction residues</t>
  </si>
  <si>
    <t>C - 21.20 Manufacture of pharmaceutical preparations</t>
  </si>
  <si>
    <t>NACE_C2120</t>
  </si>
  <si>
    <t>NACE I - 55 Accommodation</t>
  </si>
  <si>
    <t>East Timor (before 2002-05-20)</t>
  </si>
  <si>
    <t>country:TP</t>
  </si>
  <si>
    <t xml:space="preserve">    07 02 08 - Hazardous - Other still bottoms and reaction residues</t>
  </si>
  <si>
    <t>C - 22 Manufacture of rubber and plastic products</t>
  </si>
  <si>
    <t>NACE_C22</t>
  </si>
  <si>
    <t>NACE I - 55.1 Hotels and similar accommodation</t>
  </si>
  <si>
    <t>Türkiye</t>
  </si>
  <si>
    <t>country:TR</t>
  </si>
  <si>
    <t xml:space="preserve">    07 02 09 - Hazardous - Halogenated filter cakes and spent absorbents</t>
  </si>
  <si>
    <t>C - 22.1 Manufacture of rubber products</t>
  </si>
  <si>
    <t>NACE_C221</t>
  </si>
  <si>
    <t>NACE I - 55.2 Holiday and other short-stay accommodation</t>
  </si>
  <si>
    <t>Trinidad and Tobago</t>
  </si>
  <si>
    <t>country:TT</t>
  </si>
  <si>
    <t xml:space="preserve">    07 02 10 - Hazardous - Other filter cakes and spent absorbents</t>
  </si>
  <si>
    <t>C - 22.11 Manufacture, retreading and rebuilding of rubber tyres and manufacture of tubes</t>
  </si>
  <si>
    <t>NACE_C2211</t>
  </si>
  <si>
    <t>NACE I - 55.3 Camping grounds and recreational vehicle parks</t>
  </si>
  <si>
    <t>Tuvalu</t>
  </si>
  <si>
    <t>country:TV</t>
  </si>
  <si>
    <t xml:space="preserve">    07 02 11 - Hazardous - Sludges from on-site effluent treatment containing hazardous substances</t>
  </si>
  <si>
    <t>C - 22.12 Manufacture of other rubber products</t>
  </si>
  <si>
    <t>NACE_C2212</t>
  </si>
  <si>
    <t>NACE I - 55.4 Intermediation service activities for accommodation</t>
  </si>
  <si>
    <t>Taiwan (Province of China)</t>
  </si>
  <si>
    <t>country:TW</t>
  </si>
  <si>
    <t xml:space="preserve">    07 02 12 - Non-Hazardous - Sludges from on-site effluent treatment other than those mentioned in 07 02 11</t>
  </si>
  <si>
    <t>C - 22.2 Manufacture of plastic products</t>
  </si>
  <si>
    <t>NACE_C222</t>
  </si>
  <si>
    <t>NACE I - 55.9 Other accommodation</t>
  </si>
  <si>
    <t>Tanzania, the United Republic of</t>
  </si>
  <si>
    <t>country:TZ</t>
  </si>
  <si>
    <t xml:space="preserve">    07 02 13 - Non-Hazardous - Waste plastic</t>
  </si>
  <si>
    <t>C - 22.21 Manufacture of plastic plates, sheets, tubes and profiles</t>
  </si>
  <si>
    <t>NACE_C2221</t>
  </si>
  <si>
    <t>NACE I - 56 Food and beverage service activities</t>
  </si>
  <si>
    <t>Ukraine</t>
  </si>
  <si>
    <t>country:UA</t>
  </si>
  <si>
    <t xml:space="preserve">    07 02 14 - Hazardous - Wastes from additives containing hazardous substances</t>
  </si>
  <si>
    <t>C - 22.22 Manufacture of plastic packing goods</t>
  </si>
  <si>
    <t>NACE_C2222</t>
  </si>
  <si>
    <t>NACE I - 56.1 Restaurants and mobile food service activities</t>
  </si>
  <si>
    <t>Uganda</t>
  </si>
  <si>
    <t>country:UG</t>
  </si>
  <si>
    <t xml:space="preserve">    07 02 15 - Non-Hazardous - Wastes from additives other than those mentioned in 07 02 14</t>
  </si>
  <si>
    <t>C - 22.23 Manufacture of doors and windows of plastic</t>
  </si>
  <si>
    <t>NACE_C2223</t>
  </si>
  <si>
    <t>NACE I - 56.2 Event catering, contract catering service activities and other food service activities</t>
  </si>
  <si>
    <t>United States Minor Outlying Islands</t>
  </si>
  <si>
    <t>country:UM</t>
  </si>
  <si>
    <t xml:space="preserve">    07 02 16 - Hazardous - Waste containing hazardous silicones</t>
  </si>
  <si>
    <t>C - 22.24 Manufacture of builders’ ware of plastic</t>
  </si>
  <si>
    <t>NACE_C2224</t>
  </si>
  <si>
    <t>NACE I - 56.21 Event catering activities</t>
  </si>
  <si>
    <t>country:US</t>
  </si>
  <si>
    <t xml:space="preserve">    07 02 17 - Non-Hazardous - Waste containing silicones other than those mentioned in 07 02 16</t>
  </si>
  <si>
    <t>C - 22.25 Processing and finishing of plastic products</t>
  </si>
  <si>
    <t>NACE_C2225</t>
  </si>
  <si>
    <t>NACE I - 56.3 Beverage serving activities</t>
  </si>
  <si>
    <t>Uruguay</t>
  </si>
  <si>
    <t>country:UY</t>
  </si>
  <si>
    <t xml:space="preserve">    07 02 99 - Non-Hazardous - Wastes not otherwise specified</t>
  </si>
  <si>
    <t>C - 22.26 Manufacture of other plastic products</t>
  </si>
  <si>
    <t>NACE_C2226</t>
  </si>
  <si>
    <t>NACE I - 56.4 Intermediation service activities for food and beverage services activities</t>
  </si>
  <si>
    <t>Uzbekistan</t>
  </si>
  <si>
    <t>country:UZ</t>
  </si>
  <si>
    <t xml:space="preserve">  07 03 - Wastes from the MFSU of organic dyes and pigments (except 06 11)</t>
  </si>
  <si>
    <t>C - 23 Manufacture of other non-metallic mineral products</t>
  </si>
  <si>
    <t>NACE_C23</t>
  </si>
  <si>
    <t>NACE I - ACCOMMODATION AND FOOD SERVICE ACTIVITIES</t>
  </si>
  <si>
    <t>Holy See</t>
  </si>
  <si>
    <t>country:VA</t>
  </si>
  <si>
    <t xml:space="preserve">    07 03 01 - Hazardous - Aqueous washing liquids and mother liquors</t>
  </si>
  <si>
    <t>C - 23.1 Manufacture of glass and glass products</t>
  </si>
  <si>
    <t>NACE_C231</t>
  </si>
  <si>
    <t>NACE J - 58 Publishing activities</t>
  </si>
  <si>
    <t>Saint Vincent and the Grenadines</t>
  </si>
  <si>
    <t>country:VC</t>
  </si>
  <si>
    <t xml:space="preserve">    07 03 03 - Hazardous - Organic halogenated solvents, washing liquids and mother liquors</t>
  </si>
  <si>
    <t>C - 23.11 Manufacture of flat glass</t>
  </si>
  <si>
    <t>NACE_C2311</t>
  </si>
  <si>
    <t>NACE J - 58.1 Publishing of books, newspapers and other publishing activities, except software publishing</t>
  </si>
  <si>
    <t>Venezuela (Bolivarian Republic of)</t>
  </si>
  <si>
    <t>country:VE</t>
  </si>
  <si>
    <t xml:space="preserve">    07 03 04 - Hazardous - Other organic solvents, washing liquids and mother liquors</t>
  </si>
  <si>
    <t>C - 23.12 Shaping and processing of flat glass</t>
  </si>
  <si>
    <t>NACE_C2312</t>
  </si>
  <si>
    <t>NACE J - 58.2 Software publishing</t>
  </si>
  <si>
    <t>Virgin Islands (British)</t>
  </si>
  <si>
    <t>country:VG</t>
  </si>
  <si>
    <t xml:space="preserve">    07 03 07 - Hazardous - Halogenated still bottoms and reaction residues</t>
  </si>
  <si>
    <t>C - 23.13 Manufacture of hollow glass</t>
  </si>
  <si>
    <t>NACE_C2313</t>
  </si>
  <si>
    <t>NACE J - 59 Motion picture, video and television programme production, sound recording and music publishing activities</t>
  </si>
  <si>
    <t>Virgin Islands (U.S.)</t>
  </si>
  <si>
    <t>country:VI</t>
  </si>
  <si>
    <t xml:space="preserve">    07 03 08 - Hazardous - Other still bottoms and reaction residues</t>
  </si>
  <si>
    <t>C - 23.14 Manufacture of glass fibres</t>
  </si>
  <si>
    <t>NACE_C2314</t>
  </si>
  <si>
    <t>NACE J - 59.1 Motion picture, video and television programme activities</t>
  </si>
  <si>
    <t>Viet Nam</t>
  </si>
  <si>
    <t>country:VN</t>
  </si>
  <si>
    <t xml:space="preserve">    07 03 09 - Hazardous - Halogenated filter cakes and spent absorbents</t>
  </si>
  <si>
    <t>C - 23.15 Manufacture and processing of other glass, including technical glassware</t>
  </si>
  <si>
    <t>NACE_C2315</t>
  </si>
  <si>
    <t>NACE J - 59.2 Sound recording and music publishing activities</t>
  </si>
  <si>
    <t>Vanuatu</t>
  </si>
  <si>
    <t>country:VU</t>
  </si>
  <si>
    <t xml:space="preserve">    07 03 10 - Hazardous - Other filter cakes and spent absorbents</t>
  </si>
  <si>
    <t>C - 23.2 Manufacture of refractory products</t>
  </si>
  <si>
    <t>NACE_C232</t>
  </si>
  <si>
    <t>NACE J - 60 Programming, broadcasting, news agency and other content distribution activities</t>
  </si>
  <si>
    <t>Wallis and Futuna</t>
  </si>
  <si>
    <t>country:WF</t>
  </si>
  <si>
    <t xml:space="preserve">    07 03 11 - Hazardous - Sludges from on-site effluent treatment containing hazardous substances</t>
  </si>
  <si>
    <t>C - 23.20 Manufacture of refractory products</t>
  </si>
  <si>
    <t>NACE_C2320</t>
  </si>
  <si>
    <t>NACE J - 60.1 Radio broadcasting and audio distribution activities</t>
  </si>
  <si>
    <t>Samoa</t>
  </si>
  <si>
    <t>country:WS</t>
  </si>
  <si>
    <t xml:space="preserve">    07 03 12 - Non-Hazardous - Sludges from on-site effluent treatment other than those mentioned in 07 03 11</t>
  </si>
  <si>
    <t>C - 23.3 Manufacture of clay building materials</t>
  </si>
  <si>
    <t>NACE_C233</t>
  </si>
  <si>
    <t>NACE J - 60.2 Television programming, broadcasting and video distribution activities</t>
  </si>
  <si>
    <t>Yemen</t>
  </si>
  <si>
    <t>country:YE</t>
  </si>
  <si>
    <t xml:space="preserve">    07 03 99 - Non-Hazardous - Wastes not otherwise specified</t>
  </si>
  <si>
    <t>C - 23.31 Manufacture of ceramic tiles and flags</t>
  </si>
  <si>
    <t>NACE_C2331</t>
  </si>
  <si>
    <t>NACE J - 60.3 News agency and other content distribution activities</t>
  </si>
  <si>
    <t>Mayotte</t>
  </si>
  <si>
    <t>country:YT</t>
  </si>
  <si>
    <t xml:space="preserve">  07 04 - Wastes from the MFSU of organic plant protection products (except 02 01 08 and 02 01 09), wood preserving agents (except 03 02) and other biocides</t>
  </si>
  <si>
    <t>C - 23.32 Manufacture of bricks, tiles and construction products, in baked clay</t>
  </si>
  <si>
    <t>NACE_C2332</t>
  </si>
  <si>
    <t>NACE J - PUBLISHING, BROADCASTING, AND CONTENT PRODUCTION AND DISTRIBUTION ACTIVITIES</t>
  </si>
  <si>
    <t>Yugoslavia (before 2003-07-23)</t>
  </si>
  <si>
    <t>country:YU</t>
  </si>
  <si>
    <t xml:space="preserve">    07 04 01 - Hazardous - Aqueous washing liquids and mother liquors</t>
  </si>
  <si>
    <t>C - 23.4 Manufacture of other porcelain and ceramic products</t>
  </si>
  <si>
    <t>NACE_C234</t>
  </si>
  <si>
    <t>NACE K - 61 Telecommunication</t>
  </si>
  <si>
    <t>South Africa</t>
  </si>
  <si>
    <t>country:ZA</t>
  </si>
  <si>
    <t xml:space="preserve">    07 04 03 - Hazardous - Organic halogenated solvents, washing liquids and mother liquors</t>
  </si>
  <si>
    <t>C - 23.41 Manufacture of ceramic household and ornamental articles</t>
  </si>
  <si>
    <t>NACE_C2341</t>
  </si>
  <si>
    <t>NACE K - 61.1 Wired, wireless, and satellite telecommunication activities</t>
  </si>
  <si>
    <t>Zambia</t>
  </si>
  <si>
    <t>country:ZM</t>
  </si>
  <si>
    <t xml:space="preserve">    07 04 04 - Hazardous - Other organic solvents, washing liquids and mother liquors</t>
  </si>
  <si>
    <t>C - 23.42 Manufacture of ceramic sanitary fixtures</t>
  </si>
  <si>
    <t>NACE_C2342</t>
  </si>
  <si>
    <t>NACE K - 61.2 Telecommunication reselling activities and intermediation service activities for telecommunication</t>
  </si>
  <si>
    <t>Zaire (before 1997-07-14)</t>
  </si>
  <si>
    <t>country:ZR</t>
  </si>
  <si>
    <t xml:space="preserve">    07 04 07 - Hazardous - Halogenated still bottoms and reaction residues</t>
  </si>
  <si>
    <t>C - 23.43 Manufacture of ceramic insulators and insulating fittings</t>
  </si>
  <si>
    <t>NACE_C2343</t>
  </si>
  <si>
    <t>NACE K - 61.9 Other telecommunication activities</t>
  </si>
  <si>
    <t>Zimbabwe</t>
  </si>
  <si>
    <t>country:ZW</t>
  </si>
  <si>
    <t xml:space="preserve">    07 04 08 - Hazardous - Other still bottoms and reaction residues</t>
  </si>
  <si>
    <t>C - 23.44 Manufacture of other technical ceramic products</t>
  </si>
  <si>
    <t>NACE_C2344</t>
  </si>
  <si>
    <t>NACE K - 62 Computer programming, consultancy and related activities</t>
  </si>
  <si>
    <t xml:space="preserve">    07 04 09 - Hazardous - Halogenated filter cakes and spent absorbents</t>
  </si>
  <si>
    <t>C - 23.45 Manufacture of other ceramic products</t>
  </si>
  <si>
    <t>NACE_C2345</t>
  </si>
  <si>
    <t>NACE K - 62.1 Computer programming activities</t>
  </si>
  <si>
    <t xml:space="preserve">    07 04 10 - Hazardous - Other filter cakes and spent absorbents</t>
  </si>
  <si>
    <t>C - 23.5 Manufacture of cement, lime and plaster</t>
  </si>
  <si>
    <t>NACE_C235</t>
  </si>
  <si>
    <t>NACE K - 62.2 Computer consultancy and computer facilities management activities</t>
  </si>
  <si>
    <t xml:space="preserve">    07 04 11 - Hazardous - Sludges from on-site effluent treatment containing hazardous substances</t>
  </si>
  <si>
    <t>C - 23.51 Manufacture of cement</t>
  </si>
  <si>
    <t>NACE_C2351</t>
  </si>
  <si>
    <t>NACE K - 62.9 Other information technology and computer service activities</t>
  </si>
  <si>
    <t xml:space="preserve">    07 04 12 - Non-Hazardous - Sludges from on-site effluent treatment other than those mentioned in 07 04 11</t>
  </si>
  <si>
    <t>C - 23.52 Manufacture of lime and plaster</t>
  </si>
  <si>
    <t>NACE_C2352</t>
  </si>
  <si>
    <t>NACE K - 63 Computing infrastructure, data processing, hosting and other information service activities</t>
  </si>
  <si>
    <t xml:space="preserve">    07 04 13 - Hazardous - Solid wastes containing hazardous substances</t>
  </si>
  <si>
    <t>C - 23.6 Manufacture of articles of concrete, cement and plaster</t>
  </si>
  <si>
    <t>NACE_C236</t>
  </si>
  <si>
    <t>NACE K - 63.1 Computing infrastructure, data processing, hosting and related activities</t>
  </si>
  <si>
    <t xml:space="preserve">    07 04 99 - Non-Hazardous - Wastes not otherwise specified</t>
  </si>
  <si>
    <t>C - 23.61 Manufacture of concrete products for construction purposes</t>
  </si>
  <si>
    <t>NACE_C2361</t>
  </si>
  <si>
    <t>NACE K - 63.9 Web search portal activities and other information service activities</t>
  </si>
  <si>
    <t xml:space="preserve">  07 05 - Wastes from the MFSU of pharmaceuticals</t>
  </si>
  <si>
    <t>C - 23.62 Manufacture of plaster products for construction purposes</t>
  </si>
  <si>
    <t>NACE_C2362</t>
  </si>
  <si>
    <t>NACE K - TELECOMMUNICATION, COMPUTER PROGRAMMING, CONSULTING, COMPUTING INFRASTRUCTURE AND OTHER INFORMATION SERVICE ACTIVITIES</t>
  </si>
  <si>
    <t xml:space="preserve">    07 05 01 - Hazardous - Aqueous washing liquids and mother liquors</t>
  </si>
  <si>
    <t>C - 23.63 Manufacture of ready-mixed concrete</t>
  </si>
  <si>
    <t>NACE_C2363</t>
  </si>
  <si>
    <t>NACE L - 64 Financial service activities, except insurance and pension funding</t>
  </si>
  <si>
    <t xml:space="preserve">    07 05 03 - Hazardous - Organic halogenated solvents, washing liquids and mother liquors</t>
  </si>
  <si>
    <t>C - 23.64 Manufacture of mortars</t>
  </si>
  <si>
    <t>NACE_C2364</t>
  </si>
  <si>
    <t>NACE L - 64.1 Monetary intermediation</t>
  </si>
  <si>
    <t xml:space="preserve">    07 05 04 - Hazardous - Other organic solvents, washing liquids and mother liquors</t>
  </si>
  <si>
    <t>C - 23.65 Manufacture of fibre cement</t>
  </si>
  <si>
    <t>NACE_C2365</t>
  </si>
  <si>
    <t>NACE L - 64.2 Activities of holding companies and financing conduits</t>
  </si>
  <si>
    <t xml:space="preserve">    07 05 07 - Hazardous - Halogenated still bottoms and reaction residues</t>
  </si>
  <si>
    <t>C - 23.66 Manufacture of other articles of concrete, cement and plaster</t>
  </si>
  <si>
    <t>NACE_C2366</t>
  </si>
  <si>
    <t>NACE L - 64.3 Activities of trusts, funds and similar financial entities</t>
  </si>
  <si>
    <t xml:space="preserve">    07 05 08 - Hazardous - Other still bottoms and reaction residues</t>
  </si>
  <si>
    <t>C - 23.7 Cutting, shaping and finishing of stone</t>
  </si>
  <si>
    <t>NACE_C237</t>
  </si>
  <si>
    <t>NACE L - 64.9 Other financial service activities, except insurance and pension funding</t>
  </si>
  <si>
    <t xml:space="preserve">    07 05 09 - Hazardous - Halogenated filter cakes and spent absorbents</t>
  </si>
  <si>
    <t>C - 23.70 Cutting, shaping and finishing of stone</t>
  </si>
  <si>
    <t>NACE_C2370</t>
  </si>
  <si>
    <t>NACE L - 65 Insurance, reinsurance and pension funding, except compulsory social security</t>
  </si>
  <si>
    <t xml:space="preserve">    07 05 10 - Hazardous - Other filter cakes and spent absorbents</t>
  </si>
  <si>
    <t>C - 23.9 Manufacture of abrasive products and non-metallic mineral products n.e.c.</t>
  </si>
  <si>
    <t>NACE_C239</t>
  </si>
  <si>
    <t>NACE L - 65.1 Insurance</t>
  </si>
  <si>
    <t xml:space="preserve">    07 05 11 - Hazardous - Sludges from on-site effluent treatment containing hazardous substances</t>
  </si>
  <si>
    <t>C - 23.91 Manufacture of abrasive products</t>
  </si>
  <si>
    <t>NACE_C2391</t>
  </si>
  <si>
    <t>NACE L - 65.2 Reinsurance</t>
  </si>
  <si>
    <t xml:space="preserve">    07 05 12 - Non-Hazardous - Sludges from on-site effluent treatment other than those mentioned in 07 05 11</t>
  </si>
  <si>
    <t>C - 23.99 Manufacture of other non-metallic mineral products n.e.c.</t>
  </si>
  <si>
    <t>NACE_C2399</t>
  </si>
  <si>
    <t>NACE L - 65.3 Pension funding</t>
  </si>
  <si>
    <t xml:space="preserve">    07 05 13 - Hazardous - Solid wastes containing hazardous substances</t>
  </si>
  <si>
    <t>C - 24 Manufacture of basic metals</t>
  </si>
  <si>
    <t>NACE_C24</t>
  </si>
  <si>
    <t>NACE L - 66 Activities auxiliary to financial services and insurance activities</t>
  </si>
  <si>
    <t xml:space="preserve">    07 05 14 - Non-Hazardous - Solid wastes other than those mentioned in 07 05 13</t>
  </si>
  <si>
    <t>C - 24.1 Manufacture of basic iron and steel and of ferro-alloys</t>
  </si>
  <si>
    <t>NACE_C241</t>
  </si>
  <si>
    <t>NACE L - 66.1 Activities auxiliary to financial services, except insurance and pension funding</t>
  </si>
  <si>
    <t xml:space="preserve">    07 05 99 - Non-Hazardous - Wastes not otherwise specified</t>
  </si>
  <si>
    <t>C - 24.10 Manufacture of basic iron and steel and of ferro-alloys</t>
  </si>
  <si>
    <t>NACE_C2410</t>
  </si>
  <si>
    <t>NACE L - 66.2 Activities auxiliary to insurance and pension funding</t>
  </si>
  <si>
    <t xml:space="preserve">  07 06 - Wastes from the MFSU of fats, grease, soaps, detergents, disinfectants and cosmetics</t>
  </si>
  <si>
    <t>C - 24.2 Manufacture of tubes, pipes, hollow profiles and related fittings, of steel</t>
  </si>
  <si>
    <t>NACE_C242</t>
  </si>
  <si>
    <t>NACE L - 66.3 Fund management activities</t>
  </si>
  <si>
    <t xml:space="preserve">    07 06 01 - Hazardous - Aqueous washing liquids and mother liquors</t>
  </si>
  <si>
    <t>C - 24.20 Manufacture of tubes, pipes, hollow profiles and related fittings, of steel</t>
  </si>
  <si>
    <t>NACE_C2420</t>
  </si>
  <si>
    <t>NACE L - FINANCIAL AND INSURANCE ACTIVITIES</t>
  </si>
  <si>
    <t xml:space="preserve">    07 06 03 - Hazardous - Organic halogenated solvents, washing liquids and mother liquors</t>
  </si>
  <si>
    <t>C - 24.3 Manufacture of other products of first processing of steel</t>
  </si>
  <si>
    <t>NACE_C243</t>
  </si>
  <si>
    <t>NACE M - 68 Real estate activities</t>
  </si>
  <si>
    <t xml:space="preserve">    07 06 04 - Hazardous - Other organic solvents, washing liquids and mother liquors</t>
  </si>
  <si>
    <t>C - 24.31 Cold drawing of bars</t>
  </si>
  <si>
    <t>NACE_C2431</t>
  </si>
  <si>
    <t>NACE M - 68.1 Real estate activities with own property and development of building projects</t>
  </si>
  <si>
    <t xml:space="preserve">    07 06 07 - Hazardous - Halogenated still bottoms and reaction residues</t>
  </si>
  <si>
    <t>C - 24.32 Cold rolling of narrow strip</t>
  </si>
  <si>
    <t>NACE_C2432</t>
  </si>
  <si>
    <t>NACE M - 68.2 Rental and operating of own or leased real estate</t>
  </si>
  <si>
    <t xml:space="preserve">    07 06 08 - Hazardous - Other still bottoms and reaction residues</t>
  </si>
  <si>
    <t>C - 24.33 Cold forming or folding</t>
  </si>
  <si>
    <t>NACE_C2433</t>
  </si>
  <si>
    <t>NACE M - 68.3 Real estate activities on a fee or contract basis</t>
  </si>
  <si>
    <t xml:space="preserve">    07 06 09 - Hazardous - Halogenated filter cakes and spent absorbents</t>
  </si>
  <si>
    <t>C - 24.34 Cold drawing of wire</t>
  </si>
  <si>
    <t>NACE_C2434</t>
  </si>
  <si>
    <t>NACE M - REAL ESTATE ACTIVITIES</t>
  </si>
  <si>
    <t xml:space="preserve">    07 06 10 - Hazardous - Other filter cakes and spent absorbents</t>
  </si>
  <si>
    <t>C - 24.4 Manufacture of basic precious and other non-ferrous metals</t>
  </si>
  <si>
    <t>NACE_C244</t>
  </si>
  <si>
    <t>NACE N - 69 Legal and accounting activities</t>
  </si>
  <si>
    <t xml:space="preserve">    07 06 11 - Hazardous - Sludges from on-site effluent treatment containing hazardous substances</t>
  </si>
  <si>
    <t>C - 24.41 Precious metals production</t>
  </si>
  <si>
    <t>NACE_C2441</t>
  </si>
  <si>
    <t>NACE N - 69.1 Legal activities</t>
  </si>
  <si>
    <t xml:space="preserve">    07 06 12 - Non-Hazardous - Sludges from on-site effluent treatment other than those mentioned in 07 06 11</t>
  </si>
  <si>
    <t>C - 24.42 Aluminium production</t>
  </si>
  <si>
    <t>NACE_C2442</t>
  </si>
  <si>
    <t>NACE N - 69.2 Accounting, bookkeeping and auditing activities; tax consultancy</t>
  </si>
  <si>
    <t xml:space="preserve">    07 06 99 - Non-Hazardous - Wastes not otherwise specified</t>
  </si>
  <si>
    <t>C - 24.43 Lead, zinc and tin production</t>
  </si>
  <si>
    <t>NACE_C2443</t>
  </si>
  <si>
    <t>NACE N - 70 Activities of head offices and management consultancy</t>
  </si>
  <si>
    <t xml:space="preserve">  07 07 - Wastes from the MFSU of fine chemicals and chemical products not otherwise specified</t>
  </si>
  <si>
    <t>C - 24.44 Copper production</t>
  </si>
  <si>
    <t>NACE_C2444</t>
  </si>
  <si>
    <t>NACE N - 70.1 Activities of head offices</t>
  </si>
  <si>
    <t xml:space="preserve">    07 07 01 - Hazardous - Aqueous washing liquids and mother liquors</t>
  </si>
  <si>
    <t>C - 24.45 Other non-ferrous metal production</t>
  </si>
  <si>
    <t>NACE_C2445</t>
  </si>
  <si>
    <t>NACE N - 70.2 Business and other management consultancy activities</t>
  </si>
  <si>
    <t xml:space="preserve">    07 07 03 - Hazardous - Organic halogenated solvents, washing liquids and mother liquors</t>
  </si>
  <si>
    <t>C - 24.46 Processing of nuclear fuel</t>
  </si>
  <si>
    <t>NACE_C2446</t>
  </si>
  <si>
    <t>NACE N - 71 Architectural and engineering activities; technical testing and analysis</t>
  </si>
  <si>
    <t xml:space="preserve">    07 07 04 - Hazardous - Other organic solvents, washing liquids and mother liquors</t>
  </si>
  <si>
    <t>C - 24.5 Casting of metals</t>
  </si>
  <si>
    <t>NACE_C245</t>
  </si>
  <si>
    <t>NACE N - 71.1 Architectural and engineering activities and related technical consultancy</t>
  </si>
  <si>
    <t xml:space="preserve">    07 07 07 - Hazardous - Halogenated still bottoms and reaction residues</t>
  </si>
  <si>
    <t>C - 24.51 Casting of iron</t>
  </si>
  <si>
    <t>NACE_C2451</t>
  </si>
  <si>
    <t>NACE N - 71.2 Technical testing and analysis</t>
  </si>
  <si>
    <t xml:space="preserve">    07 07 08 - Hazardous - Other still bottoms and reaction residues</t>
  </si>
  <si>
    <t>C - 24.52 Casting of steel</t>
  </si>
  <si>
    <t>NACE_C2452</t>
  </si>
  <si>
    <t>NACE N - 72 Scientific research and development</t>
  </si>
  <si>
    <t xml:space="preserve">    07 07 09 - Hazardous - Halogenated filter cakes and spent absorbents</t>
  </si>
  <si>
    <t>C - 24.53 Casting of light metals</t>
  </si>
  <si>
    <t>NACE_C2453</t>
  </si>
  <si>
    <t>NACE N - 72.1 Research and experimental development on natural sciences and engineering</t>
  </si>
  <si>
    <t xml:space="preserve">    07 07 10 - Hazardous - Other filter cakes and spent absorbents</t>
  </si>
  <si>
    <t>C - 24.54 Casting of other non-ferrous metals</t>
  </si>
  <si>
    <t>NACE_C2454</t>
  </si>
  <si>
    <t>NACE N - 72.2 Research and experimental development on social sciences and humanities</t>
  </si>
  <si>
    <t xml:space="preserve">    07 07 11 - Hazardous - Sludges from on-site effluent treatment containing hazardous substances</t>
  </si>
  <si>
    <t>C - 25 Manufacture of fabricated metal products, except machinery and equipment</t>
  </si>
  <si>
    <t>NACE_C25</t>
  </si>
  <si>
    <t>NACE N - 73 Activities of advertising, market research and public relations</t>
  </si>
  <si>
    <t xml:space="preserve">    07 07 12 - Non-Hazardous - Sludges from on-site effluent treatment other than those mentioned in 07 07 11</t>
  </si>
  <si>
    <t>C - 25.1 Manufacture of structural metal products</t>
  </si>
  <si>
    <t>NACE_C251</t>
  </si>
  <si>
    <t>NACE N - 73.1 Advertising</t>
  </si>
  <si>
    <t xml:space="preserve">    07 07 99 - Non-Hazardous - Wastes not otherwise specified</t>
  </si>
  <si>
    <t>C - 25.11 Manufacture of metal structures and parts of structures</t>
  </si>
  <si>
    <t>NACE_C2511</t>
  </si>
  <si>
    <t>NACE N - 73.2 Market research and public opinion polling</t>
  </si>
  <si>
    <t>08 - WASTES FROM THE MANUFACTURE, FORMULATION, SUPPLY AND USE (MFSU) OF COATINGS (PAINTS, VARNISHES AND VITREOUS ENAMELS), ADHESIVES, SEALANTS AND PRINTING INKS</t>
  </si>
  <si>
    <t>C - 25.12 Manufacture of doors and windows of metal</t>
  </si>
  <si>
    <t>NACE_C2512</t>
  </si>
  <si>
    <t>NACE N - 73.3 Public relations and communication activities</t>
  </si>
  <si>
    <t xml:space="preserve">  08 01 - Wastes from MFSU and removal of paint and varnish</t>
  </si>
  <si>
    <t>C - 25.2 Manufacture of tanks, reservoirs and containers of metal</t>
  </si>
  <si>
    <t>NACE_C252</t>
  </si>
  <si>
    <t>NACE N - 74 Other professional, scientific and technical activities</t>
  </si>
  <si>
    <t xml:space="preserve">    08 01 11 - Hazardous - Waste paint and varnish containing organic solvents or other hazardous substances</t>
  </si>
  <si>
    <t>C - 25.21 Manufacture of central heating radiators, steam generators and boilers</t>
  </si>
  <si>
    <t>NACE_C2521</t>
  </si>
  <si>
    <t>NACE N - 74.1 Specialised design activities</t>
  </si>
  <si>
    <t xml:space="preserve">    08 01 12 - Non-Hazardous - Waste paint and varnish other than those mentioned in 08 01 11</t>
  </si>
  <si>
    <t>C - 25.22 Manufacture of other tanks, reservoirs and containers of metal</t>
  </si>
  <si>
    <t>NACE_C2522</t>
  </si>
  <si>
    <t>NACE N - 74.2 Photographic activities</t>
  </si>
  <si>
    <t xml:space="preserve">    08 01 13 - Hazardous - Sludges from paint or varnish containing organic solvents or other hazardous substances</t>
  </si>
  <si>
    <t>C - 25.3 Manufacture of weapons and ammunition</t>
  </si>
  <si>
    <t>NACE_C253</t>
  </si>
  <si>
    <t>NACE N - 74.3 Translation and interpretation activities</t>
  </si>
  <si>
    <t xml:space="preserve">    08 01 14 - Non-Hazardous - Sludges from paint or varnish other than those mentioned in 08 01 13</t>
  </si>
  <si>
    <t>C - 25.30 Manufacture of weapons and ammunition</t>
  </si>
  <si>
    <t>NACE_C2530</t>
  </si>
  <si>
    <t>NACE N - 74.9 Other professional, scientific and technical activities n.e.c.</t>
  </si>
  <si>
    <t xml:space="preserve">    08 01 15 - Hazardous - Aqueous sludges containing paint or varnish containing organic solvents or other hazardous substances</t>
  </si>
  <si>
    <t>C - 25.4 Forging and shaping metal and powder metallurgy</t>
  </si>
  <si>
    <t>NACE_C254</t>
  </si>
  <si>
    <t>NACE N - 75 Veterinary activities</t>
  </si>
  <si>
    <t xml:space="preserve">    08 01 16 - Non-Hazardous - Aqueous sludges containing paint or varnish other than those mentioned in 08 01 15</t>
  </si>
  <si>
    <t>C - 25.40 Forging and shaping metal and powder metallurgy</t>
  </si>
  <si>
    <t>NACE_C2540</t>
  </si>
  <si>
    <t>NACE N - 75.0 Veterinary activities</t>
  </si>
  <si>
    <t xml:space="preserve">    08 01 17 - Hazardous - Wastes from paint or varnish removal containing organic solvents or other hazardous substances</t>
  </si>
  <si>
    <t>C - 25.5 Treatment and coating of metals; machining</t>
  </si>
  <si>
    <t>NACE_C255</t>
  </si>
  <si>
    <t>NACE N - PROFESSIONAL, SCIENTIFIC AND TECHNICAL ACTIVITIES</t>
  </si>
  <si>
    <t xml:space="preserve">    08 01 18 - Non-Hazardous - Wastes from paint or varnish removal other than those mentioned in 08 01 17</t>
  </si>
  <si>
    <t>C - 25.51 Coating of metals</t>
  </si>
  <si>
    <t>NACE_C2551</t>
  </si>
  <si>
    <t>NACE O - 77 Rental and leasing activities</t>
  </si>
  <si>
    <t xml:space="preserve">    08 01 19 - Hazardous - Aqueous suspensions containing paint or varnish containing organic solvents or other hazardous substances</t>
  </si>
  <si>
    <t>C - 25.52 Heat treatment of metals</t>
  </si>
  <si>
    <t>NACE_C2552</t>
  </si>
  <si>
    <t>NACE O - 77.1 Rental and leasing of motor vehicles</t>
  </si>
  <si>
    <t xml:space="preserve">    08 01 20 - Non-Hazardous - Aqueous suspensions containing paint or varnish other than those mentioned in 08 01 19</t>
  </si>
  <si>
    <t>C - 25.53 Machining of metals</t>
  </si>
  <si>
    <t>NACE_C2553</t>
  </si>
  <si>
    <t>NACE O - 77.2 Rental and leasing of personal and household goods</t>
  </si>
  <si>
    <t xml:space="preserve">    08 01 21 - Hazardous - Waste paint or varnish remover</t>
  </si>
  <si>
    <t>C - 25.6 Manufacture of cutlery, tools and general hardware</t>
  </si>
  <si>
    <t>NACE_C256</t>
  </si>
  <si>
    <t>NACE O - 77.3 Rental and leasing of other machinery, equipment and tangible goods</t>
  </si>
  <si>
    <t xml:space="preserve">    08 01 99 - Non-Hazardous - Wastes not otherwise specified</t>
  </si>
  <si>
    <t>C - 25.61 Manufacture of cutlery</t>
  </si>
  <si>
    <t>NACE_C2561</t>
  </si>
  <si>
    <t>NACE O - 77.4 Leasing of intellectual property and similar products, except copyrighted works</t>
  </si>
  <si>
    <t xml:space="preserve">  08 02 - Wastes from MFSU of other coatings (including ceramic materials)</t>
  </si>
  <si>
    <t>C - 25.62 Manufacture of locks and hinges</t>
  </si>
  <si>
    <t>NACE_C2562</t>
  </si>
  <si>
    <t>NACE O - 77.5 Intermediation service activities for rental and leasing of tangible goods and non-financial intangible assets</t>
  </si>
  <si>
    <t xml:space="preserve">    08 02 01 - Non-Hazardous - Waste coating powders</t>
  </si>
  <si>
    <t>C - 25.63 Manufacture of tools</t>
  </si>
  <si>
    <t>NACE_C2563</t>
  </si>
  <si>
    <t>NACE O - 78 Employment activities</t>
  </si>
  <si>
    <t xml:space="preserve">    08 02 02 - Non-Hazardous - Aqueous sludges containing ceramic materials</t>
  </si>
  <si>
    <t>C - 25.9 Manufacture of other fabricated metal products</t>
  </si>
  <si>
    <t>NACE_C259</t>
  </si>
  <si>
    <t>NACE O - 78.1 Activities of employment placement agencies</t>
  </si>
  <si>
    <t xml:space="preserve">    08 02 03 - Non-Hazardous - Aqueous suspensions containing ceramic materials</t>
  </si>
  <si>
    <t>C - 25.91 Manufacture of steel drums and similar containers</t>
  </si>
  <si>
    <t>NACE_C2591</t>
  </si>
  <si>
    <t>NACE O - 78.2 Temporary employment agency activities and other human resource provisions</t>
  </si>
  <si>
    <t xml:space="preserve">    08 02 99 - Non-Hazardous - Wastes not otherwise specified</t>
  </si>
  <si>
    <t>C - 25.92 Manufacture of light metal packaging</t>
  </si>
  <si>
    <t>NACE_C2592</t>
  </si>
  <si>
    <t>NACE O - 79 Travel agency, tour operator and other reservation service and related activities</t>
  </si>
  <si>
    <t xml:space="preserve">  08 03 - Wastes from MFSU of printing inks</t>
  </si>
  <si>
    <t>C - 25.93 Manufacture of wire products, chain and springs</t>
  </si>
  <si>
    <t>NACE_C2593</t>
  </si>
  <si>
    <t>NACE O - 79.1 Travel agency and tour operator activities</t>
  </si>
  <si>
    <t xml:space="preserve">    08 03 07 - Non-Hazardous - Aqueous sludges containing ink</t>
  </si>
  <si>
    <t>C - 25.94 Manufacture of fasteners and screw machine products</t>
  </si>
  <si>
    <t>NACE_C2594</t>
  </si>
  <si>
    <t>NACE O - 79.9 Other reservation service and related activities</t>
  </si>
  <si>
    <t xml:space="preserve">    08 03 08 - Non-Hazardous - Aqueous liquid waste containing ink</t>
  </si>
  <si>
    <t>C - 25.99 Manufacture of other fabricated metal products n.e.c.</t>
  </si>
  <si>
    <t>NACE_C2599</t>
  </si>
  <si>
    <t>NACE O - 80 Investigation and security activities</t>
  </si>
  <si>
    <t xml:space="preserve">    08 03 12 - Hazardous - Waste ink containing hazardous substances</t>
  </si>
  <si>
    <t>C - 26 Manufacture of computer, electronic and optical products</t>
  </si>
  <si>
    <t>NACE_C26</t>
  </si>
  <si>
    <t>NACE O - 80.0 Investigation and security activities</t>
  </si>
  <si>
    <t xml:space="preserve">    08 03 13 - Non-Hazardous - Waste ink other than those mentioned in 08 03 12</t>
  </si>
  <si>
    <t>C - 26.1 Manufacture of electronic components and boards</t>
  </si>
  <si>
    <t>NACE_C261</t>
  </si>
  <si>
    <t>NACE O - 81 Services to buildings and landscape activities</t>
  </si>
  <si>
    <t xml:space="preserve">    08 03 14 - Hazardous - Ink sludges containing hazardous substances</t>
  </si>
  <si>
    <t>C - 26.11 Manufacture of electronic components</t>
  </si>
  <si>
    <t>NACE_C2611</t>
  </si>
  <si>
    <t>NACE O - 81.1 Combined facilities support activities</t>
  </si>
  <si>
    <t xml:space="preserve">    08 03 15 - Non-Hazardous - Ink sludges other than those mentioned in 08 03 14</t>
  </si>
  <si>
    <t>C - 26.12 Manufacture of loaded electronic boards</t>
  </si>
  <si>
    <t>NACE_C2612</t>
  </si>
  <si>
    <t>NACE O - 81.2 Cleaning activities</t>
  </si>
  <si>
    <t xml:space="preserve">    08 03 16 - Hazardous - Waste etching solutions</t>
  </si>
  <si>
    <t>C - 26.2 Manufacture of computers and peripheral equipment</t>
  </si>
  <si>
    <t>NACE_C262</t>
  </si>
  <si>
    <t>NACE O - 81.3 Landscape service activities</t>
  </si>
  <si>
    <t xml:space="preserve">    08 03 17 - Hazardous - Waste printing toner containing hazardous substances</t>
  </si>
  <si>
    <t>C - 26.20 Manufacture of computers and peripheral equipment</t>
  </si>
  <si>
    <t>NACE_C2620</t>
  </si>
  <si>
    <t>NACE O - 82 Office administrative, office support and other business support activities</t>
  </si>
  <si>
    <t xml:space="preserve">    08 03 18 - Non-Hazardous - Waste printing toner other than those mentioned in 08 03 17</t>
  </si>
  <si>
    <t>C - 26.3 Manufacture of communication equipment</t>
  </si>
  <si>
    <t>NACE_C263</t>
  </si>
  <si>
    <t>NACE O - 82.1 Office administrative and support activities</t>
  </si>
  <si>
    <t xml:space="preserve">    08 03 19 - Hazardous - Disperse oil</t>
  </si>
  <si>
    <t>C - 26.30 Manufacture of communication equipment</t>
  </si>
  <si>
    <t>NACE_C2630</t>
  </si>
  <si>
    <t>NACE O - 82.2 Activities of call centres</t>
  </si>
  <si>
    <t xml:space="preserve">    08 03 99 - Non-Hazardous - Wastes not otherwise specified</t>
  </si>
  <si>
    <t>C - 26.4 Manufacture of consumer electronics</t>
  </si>
  <si>
    <t>NACE_C264</t>
  </si>
  <si>
    <t>NACE O - 82.3 Organisation of conventions and trade shows</t>
  </si>
  <si>
    <t xml:space="preserve">  08 04 - Wastes from MFSU of adhesives and sealants (including waterproofing products)</t>
  </si>
  <si>
    <t>C - 26.40 Manufacture of consumer electronics</t>
  </si>
  <si>
    <t>NACE_C2640</t>
  </si>
  <si>
    <t>NACE O - 82.4 Intermediation service activities for business support service activities n.e.c.</t>
  </si>
  <si>
    <t xml:space="preserve">    08 04 09 - Hazardous - Waste adhesives and sealants containing organic solvents or other hazardous substances</t>
  </si>
  <si>
    <t>C - 26.5 Manufacture of measuring testing instruments, clocks and watches</t>
  </si>
  <si>
    <t>NACE_C265</t>
  </si>
  <si>
    <t>NACE O - 82.9 Business support service activities n.e.c.</t>
  </si>
  <si>
    <t xml:space="preserve">    08 04 10 - Non-Hazardous - Waste adhesives and sealants other than those mentioned in 08 04 09</t>
  </si>
  <si>
    <t>C - 26.51 Manufacture of instruments and appliances for measuring, testing and navigation</t>
  </si>
  <si>
    <t>NACE_C2651</t>
  </si>
  <si>
    <t>NACE O - ADMINISTRATIVE AND SUPPORT SERVICE ACTIVITIES</t>
  </si>
  <si>
    <t xml:space="preserve">    08 04 11 - Hazardous - Adhesive and sealant sludges containing organic solvents or other hazardous substances</t>
  </si>
  <si>
    <t>C - 26.52 Manufacture of watches and clocks</t>
  </si>
  <si>
    <t>NACE_C2652</t>
  </si>
  <si>
    <t>NACE P - 84 Public administration and defence; compulsory social security</t>
  </si>
  <si>
    <t xml:space="preserve">    08 04 12 - Non-Hazardous - Adhesive and sealant sludges other than those mentioned in 08 04 11</t>
  </si>
  <si>
    <t>C - 26.6 Manufacture of irradiation, electromedical and electrotherapeutic equipment</t>
  </si>
  <si>
    <t>NACE_C266</t>
  </si>
  <si>
    <t>NACE P - 84.1 Administration of the State and the economic, social and environmental policies of the community</t>
  </si>
  <si>
    <t xml:space="preserve">    08 04 13 - Hazardous - Aqueous sludges containing adhesives or sealants containing organic solvents or other hazardous substances</t>
  </si>
  <si>
    <t>C - 26.60 Manufacture of irradiation, electromedical and electrotherapeutic equipment</t>
  </si>
  <si>
    <t>NACE_C2660</t>
  </si>
  <si>
    <t>NACE P - 84.2 Provision of services to the community as a whole</t>
  </si>
  <si>
    <t xml:space="preserve">    08 04 14 - Non-Hazardous - Aqueous sludges containing adhesives or sealants other than those mentioned in 08 04 13</t>
  </si>
  <si>
    <t>C - 26.7 Manufacture of optical instruments, magnetic and optical media and photographic equipment</t>
  </si>
  <si>
    <t>NACE_C267</t>
  </si>
  <si>
    <t>NACE P - 84.3 Compulsory social security activities</t>
  </si>
  <si>
    <t xml:space="preserve">    08 04 15 - Hazardous - Aqueous liquid waste containing adhesives or sealants containing organic solvents or other hazardous substances</t>
  </si>
  <si>
    <t>C - 26.70 Manufacture of optical instruments, magnetic and optical media and photographic equipment</t>
  </si>
  <si>
    <t>NACE_C2670</t>
  </si>
  <si>
    <t>NACE P - PUBLIC ADMINISTRATION AND DEFENCE; COMPULSORY SOCIAL SECURITY</t>
  </si>
  <si>
    <t xml:space="preserve">    08 04 16 - Non-Hazardous - Aqueous liquid waste containing adhesives or sealants other than those mentioned in 08 04 15</t>
  </si>
  <si>
    <t>C - 27 Manufacture of electrical equipment</t>
  </si>
  <si>
    <t>NACE_C27</t>
  </si>
  <si>
    <t>NACE Q - 85 Education</t>
  </si>
  <si>
    <t xml:space="preserve">    08 04 17 - Hazardous - Rosin oil</t>
  </si>
  <si>
    <t>C - 27.1 Manufacture of electric motors, generators, transformers and electricity distribution and control apparatus</t>
  </si>
  <si>
    <t>NACE_C271</t>
  </si>
  <si>
    <t>NACE Q - 85.1 Pre-primary education</t>
  </si>
  <si>
    <t xml:space="preserve">    08 04 99 - Non-Hazardous - Wastes not otherwise specified</t>
  </si>
  <si>
    <t>C - 27.11 Manufacture of electric motors, generators and transformers</t>
  </si>
  <si>
    <t>NACE_C2711</t>
  </si>
  <si>
    <t>NACE Q - 85.2 Primary education</t>
  </si>
  <si>
    <t xml:space="preserve">  08 05 - Wastes not otherwise specified in 08</t>
  </si>
  <si>
    <t>C - 27.12 Manufacture of electricity distribution and control apparatus</t>
  </si>
  <si>
    <t>NACE_C2712</t>
  </si>
  <si>
    <t>NACE Q - 85.3 Secondary and post-secondary non-tertiary education</t>
  </si>
  <si>
    <t xml:space="preserve">    08 05 01 - Hazardous - Waste isocyanates</t>
  </si>
  <si>
    <t>C - 27.2 Manufacture of batteries and accumulators</t>
  </si>
  <si>
    <t>NACE_C272</t>
  </si>
  <si>
    <t>NACE Q - 85.4 Tertiary education</t>
  </si>
  <si>
    <t>09 - WASTES FROM THE PHOTOGRAPHIC INDUSTRY</t>
  </si>
  <si>
    <t>C - 27.20 Manufacture of batteries and accumulators</t>
  </si>
  <si>
    <t>NACE_C2720</t>
  </si>
  <si>
    <t>NACE Q - 85.5 Other education</t>
  </si>
  <si>
    <t xml:space="preserve">  09 01 - Wastes from the photographic industry</t>
  </si>
  <si>
    <t>C - 27.3 Manufacture of wiring and wiring devices</t>
  </si>
  <si>
    <t>NACE_C273</t>
  </si>
  <si>
    <t>NACE Q - 85.6 Educational support activities</t>
  </si>
  <si>
    <t xml:space="preserve">    09 01 01 - Hazardous - Water-based developer and activator solutions</t>
  </si>
  <si>
    <t>C - 27.31 Manufacture of fibre optic cables</t>
  </si>
  <si>
    <t>NACE_C2731</t>
  </si>
  <si>
    <t>NACE Q - EDUCATION</t>
  </si>
  <si>
    <t xml:space="preserve">    09 01 02 - Hazardous - Water-based offset plate developer solutions</t>
  </si>
  <si>
    <t>C - 27.32 Manufacture of other electronic and electric wires and cables</t>
  </si>
  <si>
    <t>NACE_C2732</t>
  </si>
  <si>
    <t>NACE R - 86 Human health activities</t>
  </si>
  <si>
    <t xml:space="preserve">    09 01 03 - Hazardous - Solvent-based developer solutions</t>
  </si>
  <si>
    <t>C - 27.33 Manufacture of wiring devices</t>
  </si>
  <si>
    <t>NACE_C2733</t>
  </si>
  <si>
    <t>NACE R - 86.1 Hospital activities</t>
  </si>
  <si>
    <t xml:space="preserve">    09 01 04 - Hazardous - Fixer solutions</t>
  </si>
  <si>
    <t>C - 27.4 Manufacture of lighting equipment</t>
  </si>
  <si>
    <t>NACE_C274</t>
  </si>
  <si>
    <t>NACE R - 86.2 Medical and dental practice activities</t>
  </si>
  <si>
    <t xml:space="preserve">    09 01 05 - Hazardous - Bleach solutions and bleach fixer solutions</t>
  </si>
  <si>
    <t>C - 27.40 Manufacture of lighting equipment</t>
  </si>
  <si>
    <t>NACE_C2740</t>
  </si>
  <si>
    <t>NACE R - 86.9 Other human health activities</t>
  </si>
  <si>
    <t xml:space="preserve">    09 01 06 - Hazardous - Wastes containing silver from on-site treatment of photographic wastes</t>
  </si>
  <si>
    <t>C - 27.5 Manufacture of domestic appliances</t>
  </si>
  <si>
    <t>NACE_C275</t>
  </si>
  <si>
    <t>NACE R - 87 Residential care activities</t>
  </si>
  <si>
    <t xml:space="preserve">    09 01 07 - Non-Hazardous - Photographic film and paper containing silver or silver compounds</t>
  </si>
  <si>
    <t>C - 27.51 Manufacture of electric domestic appliances</t>
  </si>
  <si>
    <t>NACE_C2751</t>
  </si>
  <si>
    <t>NACE R - 87.1 Residential nursing care activities</t>
  </si>
  <si>
    <t xml:space="preserve">    09 01 08 - Non-Hazardous - Photographic film and paper free of silver or silver compounds</t>
  </si>
  <si>
    <t>C - 27.52 Manufacture of non-electric domestic appliances</t>
  </si>
  <si>
    <t>NACE_C2752</t>
  </si>
  <si>
    <t>NACE R - 87.2 Residential care activities for persons living with or having a diagnosis of a mental illness or substance abuse</t>
  </si>
  <si>
    <t xml:space="preserve">    09 01 10 - Non-Hazardous - Single-use cameras without batteries</t>
  </si>
  <si>
    <t>C - 27.9 Manufacture of other electrical equipment</t>
  </si>
  <si>
    <t>NACE_C279</t>
  </si>
  <si>
    <t>NACE R - 87.3 Residential care activities for older persons or persons with physical disabilities</t>
  </si>
  <si>
    <t xml:space="preserve">    09 01 11 - Hazardous - Single-use cameras containing batteries included in 16 06 01, 16 06 02 or 16 06 03</t>
  </si>
  <si>
    <t>C - 27.90 Manufacture of other electrical equipment</t>
  </si>
  <si>
    <t>NACE_C2790</t>
  </si>
  <si>
    <t>NACE R - 87.9 Other residential care activities</t>
  </si>
  <si>
    <t xml:space="preserve">    09 01 12 - Non-Hazardous - Single-use cameras containing batteries other than those mentioned in 09 01 11</t>
  </si>
  <si>
    <t>C - 28 Manufacture of machinery and equipment n.e.c.</t>
  </si>
  <si>
    <t>NACE_C28</t>
  </si>
  <si>
    <t>NACE R - 88 Social work activities without accommodation</t>
  </si>
  <si>
    <t xml:space="preserve">    09 01 13 - Hazardous - Aqueous liquid waste from on-site reclamation of silver other than those mentioned in 09 01 06</t>
  </si>
  <si>
    <t>C - 28.1 Manufacture of general-purpose machinery</t>
  </si>
  <si>
    <t>NACE_C281</t>
  </si>
  <si>
    <t>NACE R - 88.1 Social work activities without accommodation for older persons or persons with disabilities</t>
  </si>
  <si>
    <t xml:space="preserve">    09 01 99 - Non-Hazardous - Wastes not otherwise specified</t>
  </si>
  <si>
    <t>C - 28.11 Manufacture of engines and turbines, except aircraft, vehicle and cycle engines</t>
  </si>
  <si>
    <t>NACE_C2811</t>
  </si>
  <si>
    <t>NACE R - 88.9 Other social work activities without accommodation</t>
  </si>
  <si>
    <t>10 - WASTES FROM THERMAL PROCESSES</t>
  </si>
  <si>
    <t>C - 28.12 Manufacture of fluid power equipment</t>
  </si>
  <si>
    <t>NACE_C2812</t>
  </si>
  <si>
    <t>NACE R - HUMAN HEALTH AND SOCIAL WORK ACTIVITIES</t>
  </si>
  <si>
    <t xml:space="preserve">  10 01 - Wastes from power stations and other combustion plants (except 19)</t>
  </si>
  <si>
    <t>C - 28.13 Manufacture of other pumps and compressors</t>
  </si>
  <si>
    <t>NACE_C2813</t>
  </si>
  <si>
    <t>NACE S - 90 Arts creation and performing arts activities</t>
  </si>
  <si>
    <t xml:space="preserve">    10 01 01 - Non-Hazardous - Bottom ash, slag and boiler dust (excluding boiler dust mentioned in 10 01 04)</t>
  </si>
  <si>
    <t>C - 28.14 Manufacture of other taps and valves</t>
  </si>
  <si>
    <t>NACE_C2814</t>
  </si>
  <si>
    <t>NACE S - 90.1 Arts creation activities</t>
  </si>
  <si>
    <t xml:space="preserve">    10 01 02 - Non-Hazardous - Coal fly ash</t>
  </si>
  <si>
    <t>C - 28.15 Manufacture of bearings, gears, gearing and driving elements</t>
  </si>
  <si>
    <t>NACE_C2815</t>
  </si>
  <si>
    <t>NACE S - 90.2 Activities of performing arts</t>
  </si>
  <si>
    <t xml:space="preserve">    10 01 03 - Non-Hazardous - Fly ash from peat and untreated wood</t>
  </si>
  <si>
    <t>C - 28.2 Manufacture of other general-purpose machinery</t>
  </si>
  <si>
    <t>NACE_C282</t>
  </si>
  <si>
    <t>NACE S - 90.3 Support activities to arts creation and performing arts</t>
  </si>
  <si>
    <t xml:space="preserve">    10 01 04 - Hazardous - Oil fly ash and boiler dust</t>
  </si>
  <si>
    <t>C - 28.21 Manufacture of ovens, furnaces and permanent household heating equipment</t>
  </si>
  <si>
    <t>NACE_C2821</t>
  </si>
  <si>
    <t>NACE S - 91 Libraries, archives, museums and other cultural activities</t>
  </si>
  <si>
    <t xml:space="preserve">    10 01 05 - Non-Hazardous - Calcium-based reaction wastes from flue-gas desulphurisation in solid form</t>
  </si>
  <si>
    <t>C - 28.22 Manufacture of lifting and handling equipment</t>
  </si>
  <si>
    <t>NACE_C2822</t>
  </si>
  <si>
    <t>NACE S - 91.1 Library and archive activities</t>
  </si>
  <si>
    <t xml:space="preserve">    10 01 07 - Non-Hazardous - Calcium-based reaction wastes from flue-gas desulphurisation in sludge form</t>
  </si>
  <si>
    <t>C - 28.23 Manufacture of office machinery and equipment, except computers and peripheral equipment</t>
  </si>
  <si>
    <t>NACE_C2823</t>
  </si>
  <si>
    <t>NACE S - 91.2 Museum, collection, historical site and monument activities</t>
  </si>
  <si>
    <t xml:space="preserve">    10 01 09 - Hazardous - Sulphuric acid</t>
  </si>
  <si>
    <t>C - 28.24 Manufacture of power-driven hand tools</t>
  </si>
  <si>
    <t>NACE_C2824</t>
  </si>
  <si>
    <t>NACE S - 91.3 Conservation, restoration and other support activities for cultural heritage</t>
  </si>
  <si>
    <t xml:space="preserve">    10 01 13 - Hazardous - Fly ash from emulsified hydrocarbons used as fuel</t>
  </si>
  <si>
    <t>C - 28.25 Manufacture of non-domestic air conditioning equipment</t>
  </si>
  <si>
    <t>NACE_C2825</t>
  </si>
  <si>
    <t>NACE S - 91.4 Botanical and zoological garden and nature reserve activities</t>
  </si>
  <si>
    <t xml:space="preserve">    10 01 14 - Hazardous - Bottom ash, slag and boiler dust from co-incineration containing hazardous substances</t>
  </si>
  <si>
    <t>C - 28.29 Manufacture of other general-purpose machinery n.e.c.</t>
  </si>
  <si>
    <t>NACE_C2829</t>
  </si>
  <si>
    <t>NACE S - 92 Gambling and betting activities</t>
  </si>
  <si>
    <t xml:space="preserve">    10 01 15 - Non-Hazardous - Bottom ash, slag and boiler dust from co-incineration other than those mentioned in 10 01 14</t>
  </si>
  <si>
    <t>C - 28.3 Manufacture of agricultural and forestry machinery</t>
  </si>
  <si>
    <t>NACE_C283</t>
  </si>
  <si>
    <t>NACE S - 92.0 Gambling and betting activities</t>
  </si>
  <si>
    <t xml:space="preserve">    10 01 16 - Hazardous - Fly ash from co-incineration containing hazardous substances</t>
  </si>
  <si>
    <t>C - 28.30 Manufacture of agricultural and forestry machinery</t>
  </si>
  <si>
    <t>NACE_C2830</t>
  </si>
  <si>
    <t>NACE S - 93 Sports activities and amusement and recreation activities</t>
  </si>
  <si>
    <t xml:space="preserve">    10 01 17 - Non-Hazardous - Fly ash from co-incineration other than those mentioned in 10 01 16</t>
  </si>
  <si>
    <t>C - 28.4 Manufacture of metal forming machinery and machine tools</t>
  </si>
  <si>
    <t>NACE_C284</t>
  </si>
  <si>
    <t>NACE S - 93.1 Sports activities</t>
  </si>
  <si>
    <t xml:space="preserve">    10 01 18 - Hazardous - Wastes from gas cleaning containing hazardous substances</t>
  </si>
  <si>
    <t>C - 28.41 Manufacture of metal forming machinery and machine tools for metal work</t>
  </si>
  <si>
    <t>NACE_C2841</t>
  </si>
  <si>
    <t>NACE S - 93.2 Amusement and recreation activities</t>
  </si>
  <si>
    <t xml:space="preserve">    10 01 19 - Non-Hazardous - Wastes from gas cleaning other than those mentioned in 10 01 05, 10 01 07 and 10 01 18</t>
  </si>
  <si>
    <t>C - 28.42 Manufacture of other machine tools</t>
  </si>
  <si>
    <t>NACE_C2842</t>
  </si>
  <si>
    <t>NACE S - ARTS, SPORTS AND RECREATION</t>
  </si>
  <si>
    <t xml:space="preserve">    10 01 20 - Hazardous - Sludges from on-site effluent treatment containing hazardous substances</t>
  </si>
  <si>
    <t>C - 28.9 Manufacture of other special-purpose machinery</t>
  </si>
  <si>
    <t>NACE_C289</t>
  </si>
  <si>
    <t>NACE T - 94 Activities of membership organisations</t>
  </si>
  <si>
    <t xml:space="preserve">    10 01 21 - Non-Hazardous - Sludges from on-site effluent treatment other than those mentioned in 10 01 20</t>
  </si>
  <si>
    <t>C - 28.91 Manufacture of machinery for metallurgy</t>
  </si>
  <si>
    <t>NACE_C2891</t>
  </si>
  <si>
    <t>NACE T - 94.1 Activities of business, employers and professional membership organisations</t>
  </si>
  <si>
    <t xml:space="preserve">    10 01 22 - Hazardous - Aqueous sludges from boiler cleansing containing hazardous substances</t>
  </si>
  <si>
    <t>C - 28.92 Manufacture of machinery for mining, quarrying and construction</t>
  </si>
  <si>
    <t>NACE_C2892</t>
  </si>
  <si>
    <t>NACE T - 94.2 Activities of trade unions</t>
  </si>
  <si>
    <t xml:space="preserve">    10 01 23 - Non-Hazardous - Aqueous sludges from boiler cleansing other than those mentioned in 10 01 22</t>
  </si>
  <si>
    <t>C - 28.93 Manufacture of machinery for food, beverage and tobacco processing</t>
  </si>
  <si>
    <t>NACE_C2893</t>
  </si>
  <si>
    <t>NACE T - 94.9 Activities of other membership organisations</t>
  </si>
  <si>
    <t xml:space="preserve">    10 01 24 - Non-Hazardous - Sands from fluidised beds</t>
  </si>
  <si>
    <t>C - 28.94 Manufacture of machinery for textile, apparel and leather production</t>
  </si>
  <si>
    <t>NACE_C2894</t>
  </si>
  <si>
    <t>NACE T - 95 Repair and maintenance of computers, personal and household goods, and motor vehicles and motorcycles</t>
  </si>
  <si>
    <t xml:space="preserve">    10 01 25 - Non-Hazardous - Wastes from fuel storage and preparation of coal-fired power plants</t>
  </si>
  <si>
    <t>C - 28.95 Manufacture of machinery for paper and paperboard production</t>
  </si>
  <si>
    <t>NACE_C2895</t>
  </si>
  <si>
    <t>NACE T - 95.1 Repair and maintenance of computers and communication equipment</t>
  </si>
  <si>
    <t xml:space="preserve">    10 01 26 - Non-Hazardous - Wastes from cooling-water treatment</t>
  </si>
  <si>
    <t>C - 28.96 Manufacture of plastics and rubber machinery</t>
  </si>
  <si>
    <t>NACE_C2896</t>
  </si>
  <si>
    <t>NACE T - 95.2 Repair and maintenance of personal and household goods</t>
  </si>
  <si>
    <t xml:space="preserve">    10 01 99 - Non-Hazardous - Wastes not otherwise specified</t>
  </si>
  <si>
    <t>C - 28.97 Manufacture of additive manufacturing machinery</t>
  </si>
  <si>
    <t>NACE_C2897</t>
  </si>
  <si>
    <t>NACE T - 95.3 Repair and maintenance of motor vehicles and motorcycles</t>
  </si>
  <si>
    <t xml:space="preserve">  10 02 - Wastes from the iron and steel industry</t>
  </si>
  <si>
    <t>C - 28.99 Manufacture of other special-purpose machinery n.e.c.</t>
  </si>
  <si>
    <t>NACE_C2899</t>
  </si>
  <si>
    <t>NACE T - 95.4 Intermediation service activities for repair and maintenance of computers, personal and household goods, and motor vehicles and motorcycles</t>
  </si>
  <si>
    <t xml:space="preserve">    10 02 01 - Non-Hazardous - Wastes from the processing of slag</t>
  </si>
  <si>
    <t>C - 29 Manufacture of motor vehicles, trailers and semi-trailers</t>
  </si>
  <si>
    <t>NACE_C29</t>
  </si>
  <si>
    <t>NACE T - 96 Personal service activities</t>
  </si>
  <si>
    <t xml:space="preserve">    10 02 02 - Non-Hazardous - Unprocessed slag</t>
  </si>
  <si>
    <t>C - 29.1 Manufacture of motor vehicles</t>
  </si>
  <si>
    <t>NACE_C291</t>
  </si>
  <si>
    <t>NACE T - 96.1 Washing and cleaning of textile and fur products</t>
  </si>
  <si>
    <t xml:space="preserve">    10 02 07 - Hazardous - Solid wastes from gas treatment containing hazardous substances</t>
  </si>
  <si>
    <t>C - 29.10 Manufacture of motor vehicles</t>
  </si>
  <si>
    <t>NACE_C2910</t>
  </si>
  <si>
    <t>NACE T - 96.2 Hairdressing, beauty treatment, day spa and similar activities</t>
  </si>
  <si>
    <t xml:space="preserve">    10 02 08 - Non-Hazardous - Solid wastes from gas treatment other than those mentioned in 10 02 07</t>
  </si>
  <si>
    <t>C - 29.2 Manufacture of bodies and coachwork for motor vehicles; manufacture of trailers and semi-trailers</t>
  </si>
  <si>
    <t>NACE_C292</t>
  </si>
  <si>
    <t>NACE T - 96.3 Funeral and related activities</t>
  </si>
  <si>
    <t xml:space="preserve">    10 02 10 - Non-Hazardous - Mill scales</t>
  </si>
  <si>
    <t>C - 29.20 Manufacture of bodies and coachwork for motor vehicles; manufacture of trailers and semi-trailers</t>
  </si>
  <si>
    <t>NACE_C2920</t>
  </si>
  <si>
    <t>NACE T - 96.4 Intermediation service activities for personal services</t>
  </si>
  <si>
    <t xml:space="preserve">    10 02 11 - Hazardous - Wastes from cooling-water treatment containing oil</t>
  </si>
  <si>
    <t>C - 29.3 Manufacture of motor vehicle parts and accessories</t>
  </si>
  <si>
    <t>NACE_C293</t>
  </si>
  <si>
    <t>NACE T - 96.9 Other personal service activities</t>
  </si>
  <si>
    <t xml:space="preserve">    10 02 12 - Non-Hazardous - Wastes from cooling-water treatment other than those mentioned in 10 02 11</t>
  </si>
  <si>
    <t>C - 29.31 Manufacture of electrical and electronic equipment for motor vehicles</t>
  </si>
  <si>
    <t>NACE_C2931</t>
  </si>
  <si>
    <t>NACE T - OTHER SERVICE ACTIVITIES</t>
  </si>
  <si>
    <t xml:space="preserve">    10 02 13 - Hazardous - Sludges and filter cakes from gas treatment containing hazardous substances</t>
  </si>
  <si>
    <t>C - 29.32 Manufacture of other parts and accessories for motor vehicles</t>
  </si>
  <si>
    <t>NACE_C2932</t>
  </si>
  <si>
    <t>NACE U - 97 Activities of households as employers of domestic personnel</t>
  </si>
  <si>
    <t xml:space="preserve">    10 02 14 - Non-Hazardous - Sludges and filter cakes from gas treatment other than those mentioned in 10 02 13</t>
  </si>
  <si>
    <t>C - 30 Manufacture of other transport equipment</t>
  </si>
  <si>
    <t>NACE_C30</t>
  </si>
  <si>
    <t>NACE U - 97.0 Activities of households as employers of domestic personnel</t>
  </si>
  <si>
    <t xml:space="preserve">    10 02 15 - Non-Hazardous - Other sludges and filter cakes</t>
  </si>
  <si>
    <t>C - 30.1 Building of ships and boats</t>
  </si>
  <si>
    <t>NACE_C301</t>
  </si>
  <si>
    <t>NACE U - 98 Undifferentiated goods- and service-producing activities of private households for own use</t>
  </si>
  <si>
    <t xml:space="preserve">    10 02 99 - Non-Hazardous - Wastes not otherwise specified</t>
  </si>
  <si>
    <t>C - 30.11 Building of civilian ships and floating structures</t>
  </si>
  <si>
    <t>NACE_C3011</t>
  </si>
  <si>
    <t>NACE U - 98.1 Undifferentiated goods-producing activities of private households for own use</t>
  </si>
  <si>
    <t xml:space="preserve">  10 03 - Wastes from aluminium thermal metallurgy</t>
  </si>
  <si>
    <t>C - 30.12 Building of pleasure and sporting boats</t>
  </si>
  <si>
    <t>NACE_C3012</t>
  </si>
  <si>
    <t>NACE U - 98.2 Undifferentiated service-producing activities of private households for own use</t>
  </si>
  <si>
    <t xml:space="preserve">    10 03 02 - Non-Hazardous - Anode scraps</t>
  </si>
  <si>
    <t>C - 30.13 Building of military ships and vessels</t>
  </si>
  <si>
    <t>NACE_C3013</t>
  </si>
  <si>
    <t>NACE U - ACTIVITIES OF HOUSEHOLDS AS EMPLOYERS AND UNDIFFERENTIATED GOODS – AND SERVICE-PRODUCING ACTIVITIES OF HOUSEHOLDS FOR OWN USE</t>
  </si>
  <si>
    <t xml:space="preserve">    10 03 04 - Hazardous - Primary production slags</t>
  </si>
  <si>
    <t>C - 30.2 Manufacture of railway locomotives and rolling stock</t>
  </si>
  <si>
    <t>NACE_C302</t>
  </si>
  <si>
    <t>NACE V - 99 Activities of extraterritorial organisations and bodies</t>
  </si>
  <si>
    <t xml:space="preserve">    10 03 05 - Non-Hazardous - Waste alumina</t>
  </si>
  <si>
    <t>C - 30.20 Manufacture of railway locomotives and rolling stock</t>
  </si>
  <si>
    <t>NACE_C3020</t>
  </si>
  <si>
    <t>NACE V - 99.0 Activities of extraterritorial organisations and bodies</t>
  </si>
  <si>
    <t xml:space="preserve">    10 03 08 - Hazardous - Salt slags from secondary production</t>
  </si>
  <si>
    <t>C - 30.3 Manufacture of air and spacecraft and related machinery</t>
  </si>
  <si>
    <t>NACE_C303</t>
  </si>
  <si>
    <t>NACE V - ACTIVITIES OF EXTRATERRITORIAL ORGANISATIONS AND BODIES</t>
  </si>
  <si>
    <t xml:space="preserve">    10 03 09 - Hazardous - Black drosses from secondary production</t>
  </si>
  <si>
    <t>C - 30.31 Manufacture of civilian air and spacecraft and related machinery</t>
  </si>
  <si>
    <t>NACE_C3031</t>
  </si>
  <si>
    <t xml:space="preserve">    10 03 15 - Hazardous - Skimmings that are flammable or emit, upon contact with water, flammable gases in hazardous quantities</t>
  </si>
  <si>
    <t>C - 30.32 Manufacture of military air and spacecraft and related machinery</t>
  </si>
  <si>
    <t>NACE_C3032</t>
  </si>
  <si>
    <t xml:space="preserve">    10 03 16 - Non-Hazardous - Skimmings other than those mentioned in 10 03 15</t>
  </si>
  <si>
    <t>C - 30.4 Manufacture of military fighting vehicles</t>
  </si>
  <si>
    <t>NACE_C304</t>
  </si>
  <si>
    <t xml:space="preserve">    10 03 17 - Hazardous - Tar-containing wastes from anode manufacture</t>
  </si>
  <si>
    <t>C - 30.40 Manufacture of military fighting vehicles</t>
  </si>
  <si>
    <t>NACE_C3040</t>
  </si>
  <si>
    <t xml:space="preserve">    10 03 18 - Non-Hazardous - Carbon-containing wastes from anode manufacture other than those mentioned in 10 03 17</t>
  </si>
  <si>
    <t>C - 30.9 Manufacture of transport equipment n.e.c.</t>
  </si>
  <si>
    <t>NACE_C309</t>
  </si>
  <si>
    <t xml:space="preserve">    10 03 19 - Hazardous - Flue-gas dust containing hazardous substances</t>
  </si>
  <si>
    <t>C - 30.91 Manufacture of motorcycles</t>
  </si>
  <si>
    <t>NACE_C3091</t>
  </si>
  <si>
    <t xml:space="preserve">    10 03 20 - Non-Hazardous - Flue-gas dust other than those mentioned in 10 03 19</t>
  </si>
  <si>
    <t>C - 30.92 Manufacture of bicycles and invalid carriages</t>
  </si>
  <si>
    <t>NACE_C3092</t>
  </si>
  <si>
    <t xml:space="preserve">    10 03 21 - Hazardous - Other particulates and dust (including ball-mill dust) containing hazardous substances</t>
  </si>
  <si>
    <t>C - 30.99 Manufacture of other transport equipment n.e.c.</t>
  </si>
  <si>
    <t>NACE_C3099</t>
  </si>
  <si>
    <t xml:space="preserve">    10 03 22 - Non-Hazardous - Other particulates and dust (including ball-mill dust) other than those mentioned in 10 03 21</t>
  </si>
  <si>
    <t>C - 31 Manufacture of furniture</t>
  </si>
  <si>
    <t>NACE_C31</t>
  </si>
  <si>
    <t xml:space="preserve">    10 03 23 - Hazardous - Solid wastes from gas treatment containing hazardous substances</t>
  </si>
  <si>
    <t>C - 31.0 Manufacture of furniture</t>
  </si>
  <si>
    <t>NACE_C310</t>
  </si>
  <si>
    <t xml:space="preserve">    10 03 24 - Non-Hazardous - Solid wastes from gas treatment other than those mentioned in 10 03 23</t>
  </si>
  <si>
    <t>C - 31.00 Manufacture of furniture</t>
  </si>
  <si>
    <t>NACE_C3100</t>
  </si>
  <si>
    <t xml:space="preserve">    10 03 25 - Hazardous - Sludges and filter cakes from gas treatment containing hazardous substances</t>
  </si>
  <si>
    <t>C - 32 Other manufacturing</t>
  </si>
  <si>
    <t>NACE_C32</t>
  </si>
  <si>
    <t xml:space="preserve">    10 03 26 - Non-Hazardous - Sludges and filter cakes from gas treatment other than those mentioned in 10 03 25</t>
  </si>
  <si>
    <t>C - 32.1 Manufacture of jewellery, bijouterie and related articles</t>
  </si>
  <si>
    <t>NACE_C321</t>
  </si>
  <si>
    <t xml:space="preserve">    10 03 27 - Hazardous - Wastes from cooling-water treatment containing oil</t>
  </si>
  <si>
    <t>C - 32.11 Striking of coins</t>
  </si>
  <si>
    <t>NACE_C3211</t>
  </si>
  <si>
    <t xml:space="preserve">    10 03 28 - Non-Hazardous - Wastes from cooling-water treatment other than those mentioned in 10 03 27</t>
  </si>
  <si>
    <t>C - 32.12 Manufacture of jewellery and related articles</t>
  </si>
  <si>
    <t>NACE_C3212</t>
  </si>
  <si>
    <t xml:space="preserve">    10 03 29 - Hazardous - Wastes from treatment of salt slags and black drosses containing hazardous substances</t>
  </si>
  <si>
    <t>C - 32.13 Manufacture of imitation jewellery and related articles</t>
  </si>
  <si>
    <t>NACE_C3213</t>
  </si>
  <si>
    <t xml:space="preserve">    10 03 30 - Non-Hazardous - Wastes from treatment of salt slags and black drosses other than those mentioned in 10 03 29</t>
  </si>
  <si>
    <t>C - 32.2 Manufacture of musical instruments</t>
  </si>
  <si>
    <t>NACE_C322</t>
  </si>
  <si>
    <t xml:space="preserve">    10 03 99 - Non-Hazardous - Wastes not otherwise specified</t>
  </si>
  <si>
    <t>C - 32.20 Manufacture of musical instruments</t>
  </si>
  <si>
    <t>NACE_C3220</t>
  </si>
  <si>
    <t xml:space="preserve">  10 04 - Wastes from lead thermal metallurgy</t>
  </si>
  <si>
    <t>C - 32.3 Manufacture of sports goods</t>
  </si>
  <si>
    <t>NACE_C323</t>
  </si>
  <si>
    <t xml:space="preserve">    10 04 01 - Hazardous - Slags from primary and secondary production</t>
  </si>
  <si>
    <t>C - 32.30 Manufacture of sports goods</t>
  </si>
  <si>
    <t>NACE_C3230</t>
  </si>
  <si>
    <t xml:space="preserve">    10 04 02 - Hazardous - Dross and skimmings from primary and secondary production</t>
  </si>
  <si>
    <t>C - 32.4 Manufacture of games and toys</t>
  </si>
  <si>
    <t>NACE_C324</t>
  </si>
  <si>
    <t xml:space="preserve">    10 04 03 - Hazardous - Calcium arsenate</t>
  </si>
  <si>
    <t>C - 32.40 Manufacture of games and toys</t>
  </si>
  <si>
    <t>NACE_C3240</t>
  </si>
  <si>
    <t xml:space="preserve">    10 04 04 - Hazardous - Flue-gas dust</t>
  </si>
  <si>
    <t>C - 32.5 Manufacture of medical and dental instruments and supplies</t>
  </si>
  <si>
    <t>NACE_C325</t>
  </si>
  <si>
    <t xml:space="preserve">    10 04 05 - Hazardous - Other particulates and dust</t>
  </si>
  <si>
    <t>C - 32.50 Manufacture of medical and dental instruments and supplies</t>
  </si>
  <si>
    <t>NACE_C3250</t>
  </si>
  <si>
    <t xml:space="preserve">    10 04 06 - Hazardous - Solid wastes from gas treatment</t>
  </si>
  <si>
    <t>C - 32.9 Manufacturing n.e.c.</t>
  </si>
  <si>
    <t>NACE_C329</t>
  </si>
  <si>
    <t xml:space="preserve">    10 04 07 - Hazardous - Sludges and filter cakes from gas treatment</t>
  </si>
  <si>
    <t>C - 32.91 Manufacture of brooms and brushes</t>
  </si>
  <si>
    <t>NACE_C3291</t>
  </si>
  <si>
    <t xml:space="preserve">    10 04 09 - Hazardous - Wastes from cooling-water treatment containing oil</t>
  </si>
  <si>
    <t>C - 32.99 Other manufacturing n.e.c.</t>
  </si>
  <si>
    <t>NACE_C3299</t>
  </si>
  <si>
    <t xml:space="preserve">    10 04 10 - Non-Hazardous - Wastes from cooling-water treatment other than those mentioned in 10 04 09</t>
  </si>
  <si>
    <t>C - 33 Repair, maintenance and installation of machinery and equipment</t>
  </si>
  <si>
    <t>NACE_C33</t>
  </si>
  <si>
    <t xml:space="preserve">    10 04 99 - Non-Hazardous - Wastes not otherwise specified</t>
  </si>
  <si>
    <t>C - 33.1 Repair and maintenance of fabricated metal products, machinery and equipment</t>
  </si>
  <si>
    <t>NACE_C331</t>
  </si>
  <si>
    <t xml:space="preserve">  10 05 - Wastes from zinc thermal metallurgy</t>
  </si>
  <si>
    <t>C - 33.11 Repair and maintenance of fabricated metal products</t>
  </si>
  <si>
    <t>NACE_C3311</t>
  </si>
  <si>
    <t xml:space="preserve">    10 05 01 - Non-Hazardous - Slags from primary and secondary production</t>
  </si>
  <si>
    <t>C - 33.12 Repair and maintenance of machinery</t>
  </si>
  <si>
    <t>NACE_C3312</t>
  </si>
  <si>
    <t xml:space="preserve">    10 05 03 - Hazardous - Flue-gas dust</t>
  </si>
  <si>
    <t>C - 33.13 Repair and maintenance of electronic and optical equipment</t>
  </si>
  <si>
    <t>NACE_C3313</t>
  </si>
  <si>
    <t xml:space="preserve">    10 05 04 - Non-Hazardous - Other particulates and dust</t>
  </si>
  <si>
    <t>C - 33.14 Repair and maintenance of electrical equipment</t>
  </si>
  <si>
    <t>NACE_C3314</t>
  </si>
  <si>
    <t xml:space="preserve">    10 05 05 - Hazardous - Solid waste from gas treatment</t>
  </si>
  <si>
    <t>C - 33.15 Repair and maintenance of civilian ships and boats</t>
  </si>
  <si>
    <t>NACE_C3315</t>
  </si>
  <si>
    <t xml:space="preserve">    10 05 06 - Hazardous - Sludges and filter cakes from gas treatment</t>
  </si>
  <si>
    <t>C - 33.16 Repair and maintenance of civilian air and spacecraft</t>
  </si>
  <si>
    <t>NACE_C3316</t>
  </si>
  <si>
    <t xml:space="preserve">    10 05 08 - Hazardous - Wastes from cooling-water treatment containing oil</t>
  </si>
  <si>
    <t>C - 33.17 Repair and maintenance of other civilian transport equipment</t>
  </si>
  <si>
    <t>NACE_C3317</t>
  </si>
  <si>
    <t xml:space="preserve">    10 05 09 - Non-Hazardous - Wastes from cooling-water treatment other than those mentioned in 10 05 08</t>
  </si>
  <si>
    <t>C - 33.18 Repair and maintenance of military fighting vehicles, ships, boats, air and spacecraft</t>
  </si>
  <si>
    <t>NACE_C3318</t>
  </si>
  <si>
    <t xml:space="preserve">    10 05 10 - Hazardous - Dross and skimmings that are flammable or emit, upon contact with water, flammable gases in hazardous quantities</t>
  </si>
  <si>
    <t>C - 33.19 Repair and maintenance of other equipment</t>
  </si>
  <si>
    <t>NACE_C3319</t>
  </si>
  <si>
    <t xml:space="preserve">    10 05 11 - Non-Hazardous - Dross and skimmings other than those mentioned in 10 05 10</t>
  </si>
  <si>
    <t>C - 33.2 Installation of industrial machinery and equipment</t>
  </si>
  <si>
    <t>NACE_C332</t>
  </si>
  <si>
    <t xml:space="preserve">    10 05 99 - Non-Hazardous - Wastes not otherwise specified</t>
  </si>
  <si>
    <t>C - 33.20 Installation of industrial machinery and equipment</t>
  </si>
  <si>
    <t>NACE_C3320</t>
  </si>
  <si>
    <t xml:space="preserve">  10 06 - Wastes from copper thermal metallurgy</t>
  </si>
  <si>
    <t>D - ELECTRICITY, GAS, STEAM AND AIR CONDITIONING SUPPLY</t>
  </si>
  <si>
    <t>NACE_D</t>
  </si>
  <si>
    <t xml:space="preserve">    10 06 01 - Non-Hazardous - Slags from primary and secondary production</t>
  </si>
  <si>
    <t>D - 35 Electricity, gas, steam and air conditioning supply</t>
  </si>
  <si>
    <t>NACE_D35</t>
  </si>
  <si>
    <t xml:space="preserve">    10 06 02 - Non-Hazardous - Dross and skimmings from primary and secondary production</t>
  </si>
  <si>
    <t>D - 35.1 Electric power generation, transmission and distribution</t>
  </si>
  <si>
    <t>NACE_D351</t>
  </si>
  <si>
    <t xml:space="preserve">    10 06 03 - Hazardous - Flue-gas dust</t>
  </si>
  <si>
    <t>D - 35.11 Production of electricity from non-renewable sources</t>
  </si>
  <si>
    <t>NACE_D3511</t>
  </si>
  <si>
    <t xml:space="preserve">    10 06 04 - Non-Hazardous - Other particulates and dust</t>
  </si>
  <si>
    <t>D - 35.12 Production of electricity from renewable sources</t>
  </si>
  <si>
    <t>NACE_D3512</t>
  </si>
  <si>
    <t xml:space="preserve">    10 06 06 - Hazardous - Solid wastes from gas treatment</t>
  </si>
  <si>
    <t>D - 35.13 Transmission of electricity</t>
  </si>
  <si>
    <t>NACE_D3513</t>
  </si>
  <si>
    <t xml:space="preserve">    10 06 07 - Hazardous - Sludges and filter cakes from gas treatment</t>
  </si>
  <si>
    <t>D - 35.14 Distribution of electricity</t>
  </si>
  <si>
    <t>NACE_D3514</t>
  </si>
  <si>
    <t xml:space="preserve">    10 06 09 - Hazardous - Wastes from cooling-water treatment containing oil</t>
  </si>
  <si>
    <t>D - 35.15 Trade of electricity</t>
  </si>
  <si>
    <t>NACE_D3515</t>
  </si>
  <si>
    <t xml:space="preserve">    10 06 10 - Non-Hazardous - Wastes from cooling-water treatment other than those mentioned in 10 06 09</t>
  </si>
  <si>
    <t>D - 35.16 Storage of electricity</t>
  </si>
  <si>
    <t>NACE_D3516</t>
  </si>
  <si>
    <t xml:space="preserve">    10 06 99 - Non-Hazardous - Wastes not otherwise specified</t>
  </si>
  <si>
    <t>D - 35.2 Manufacture of gas, and distribution of gaseous fuels through mains</t>
  </si>
  <si>
    <t>NACE_D352</t>
  </si>
  <si>
    <t xml:space="preserve">  10 07 - Wastes from silver, gold and platinum thermal metallurgy</t>
  </si>
  <si>
    <t>D - 35.21 Manufacture of gas</t>
  </si>
  <si>
    <t>NACE_D3521</t>
  </si>
  <si>
    <t xml:space="preserve">    10 07 01 - Non-Hazardous - Slags from primary and secondary production</t>
  </si>
  <si>
    <t>D - 35.22 Distribution of gaseous fuels through mains</t>
  </si>
  <si>
    <t>NACE_D3522</t>
  </si>
  <si>
    <t xml:space="preserve">    10 07 02 - Non-Hazardous - Dross and skimmings from primary and secondary production</t>
  </si>
  <si>
    <t>D - 35.23 Trade of gas through mains</t>
  </si>
  <si>
    <t>NACE_D3523</t>
  </si>
  <si>
    <t xml:space="preserve">    10 07 03 - Non-Hazardous - Solid wastes from gas treatment</t>
  </si>
  <si>
    <t>D - 35.24 Storage of gas as part of network supply services</t>
  </si>
  <si>
    <t>NACE_D3524</t>
  </si>
  <si>
    <t xml:space="preserve">    10 07 04 - Non-Hazardous - Other particulates and dust</t>
  </si>
  <si>
    <t>D - 35.3 Steam and air conditioning supply</t>
  </si>
  <si>
    <t>NACE_D353</t>
  </si>
  <si>
    <t xml:space="preserve">    10 07 05 - Non-Hazardous - Sludges and filter cakes from gas treatment</t>
  </si>
  <si>
    <t>D - 35.30 Steam and air conditioning supply</t>
  </si>
  <si>
    <t>NACE_D3530</t>
  </si>
  <si>
    <t xml:space="preserve">    10 07 07 - Hazardous - Wastes from cooling-water treatment containing oil</t>
  </si>
  <si>
    <t>D - 35.4 Activities of brokers and agents for electric power and natural gas</t>
  </si>
  <si>
    <t>NACE_D354</t>
  </si>
  <si>
    <t xml:space="preserve">    10 07 08 - Non-Hazardous - Wastes from cooling-water treatment other than those mentioned in 10 07 07</t>
  </si>
  <si>
    <t>D - 35.40 Activities of brokers and agents for electric power and natural gas</t>
  </si>
  <si>
    <t>NACE_D3540</t>
  </si>
  <si>
    <t xml:space="preserve">    10 07 99 - Non-Hazardous - Wastes not otherwise specified</t>
  </si>
  <si>
    <t>E - WATER SUPPLY; SEWERAGE, WASTE MANAGEMENT AND REMEDIATION ACTIVITIES</t>
  </si>
  <si>
    <t>NACE_E</t>
  </si>
  <si>
    <t xml:space="preserve">  10 08 - Wastes from other non-ferrous thermal metallurgy</t>
  </si>
  <si>
    <t>E - 36 Water collection, treatment and supply</t>
  </si>
  <si>
    <t>NACE_E36</t>
  </si>
  <si>
    <t xml:space="preserve">    10 08 04 - Non-Hazardous - Particulates and dust</t>
  </si>
  <si>
    <t>E - 36.0 Water collection, treatment and supply</t>
  </si>
  <si>
    <t>NACE_E360</t>
  </si>
  <si>
    <t xml:space="preserve">    10 08 08 - Hazardous - Salt slag from primary and secondary production</t>
  </si>
  <si>
    <t>E - 36.00 Water collection, treatment and supply</t>
  </si>
  <si>
    <t>NACE_E3600</t>
  </si>
  <si>
    <t xml:space="preserve">    10 08 09 - Non-Hazardous - Other slags</t>
  </si>
  <si>
    <t>E - 37 Sewerage</t>
  </si>
  <si>
    <t>NACE_E37</t>
  </si>
  <si>
    <t xml:space="preserve">    10 08 10 - Hazardous - Dross and skimmings that are flammable or emit, upon contact with water, flammable gases in hazardous quantities</t>
  </si>
  <si>
    <t>E - 37.0 Sewerage</t>
  </si>
  <si>
    <t>NACE_E370</t>
  </si>
  <si>
    <t xml:space="preserve">    10 08 11 - Non-Hazardous - Dross and skimmings other than those mentioned in 10 08 10</t>
  </si>
  <si>
    <t>E - 37.00 Sewerage</t>
  </si>
  <si>
    <t>NACE_E3700</t>
  </si>
  <si>
    <t xml:space="preserve">    10 08 12 - Hazardous - Tar-containing wastes from anode manufacture</t>
  </si>
  <si>
    <t>E - 38 Waste collection, recovery and disposal activities</t>
  </si>
  <si>
    <t>NACE_E38</t>
  </si>
  <si>
    <t xml:space="preserve">    10 08 13 - Non-Hazardous - Carbon-containing wastes from anode manufacture other than those mentioned in 10 08 12</t>
  </si>
  <si>
    <t>E - 38.1 Waste collection</t>
  </si>
  <si>
    <t>NACE_E381</t>
  </si>
  <si>
    <t xml:space="preserve">    10 08 14 - Non-Hazardous - Anode scrap</t>
  </si>
  <si>
    <t>E - 38.11 Collection of non-hazardous waste</t>
  </si>
  <si>
    <t>NACE_E3811</t>
  </si>
  <si>
    <t xml:space="preserve">    10 08 15 - Hazardous - Flue-gas dust containing hazardous substances</t>
  </si>
  <si>
    <t>E - 38.12 Collection of hazardous waste</t>
  </si>
  <si>
    <t>NACE_E3812</t>
  </si>
  <si>
    <t xml:space="preserve">    10 08 16 - Non-Hazardous - Flue-gas dust other than those mentioned in 10 08 15</t>
  </si>
  <si>
    <t>E - 38.2 Waste recovery</t>
  </si>
  <si>
    <t>NACE_E382</t>
  </si>
  <si>
    <t xml:space="preserve">    10 08 17 - Hazardous - Sludges and filter cakes from flue-gas treatment containing hazardous substances</t>
  </si>
  <si>
    <t>E - 38.21 Materials recovery</t>
  </si>
  <si>
    <t>NACE_E3821</t>
  </si>
  <si>
    <t xml:space="preserve">    10 08 18 - Non-Hazardous - Sludges and filter cakes from flue-gas treatment other than those mentioned in 10 08 17</t>
  </si>
  <si>
    <t>E - 38.22 Energy recovery</t>
  </si>
  <si>
    <t>NACE_E3822</t>
  </si>
  <si>
    <t xml:space="preserve">    10 08 19 - Hazardous - Wastes from cooling-water treatment containing oil</t>
  </si>
  <si>
    <t>E - 38.23 Other waste recovery</t>
  </si>
  <si>
    <t>NACE_E3823</t>
  </si>
  <si>
    <t xml:space="preserve">    10 08 20 - Non-Hazardous - Wastes from cooling-water treatment other than those mentioned in 10 08 19</t>
  </si>
  <si>
    <t>E - 38.3 Waste disposal without recovery</t>
  </si>
  <si>
    <t>NACE_E383</t>
  </si>
  <si>
    <t xml:space="preserve">    10 08 99 - Non-Hazardous - Wastes not otherwise specified</t>
  </si>
  <si>
    <t>E - 38.31 Incineration without energy recovery</t>
  </si>
  <si>
    <t>NACE_E3831</t>
  </si>
  <si>
    <t xml:space="preserve">  10 09 - Wastes from casting of ferrous pieces</t>
  </si>
  <si>
    <t>E - 38.32 Landfilling or permanent storage</t>
  </si>
  <si>
    <t>NACE_E3832</t>
  </si>
  <si>
    <t xml:space="preserve">    10 09 03 - Non-Hazardous - Furnace slag</t>
  </si>
  <si>
    <t>E - 38.33 Other waste disposal</t>
  </si>
  <si>
    <t>NACE_E3833</t>
  </si>
  <si>
    <t xml:space="preserve">    10 09 05 - Hazardous - Casting cores and moulds which have not undergone pouring containing hazardous substances</t>
  </si>
  <si>
    <t>E - 39 Remediation activities and other waste management service activities</t>
  </si>
  <si>
    <t>NACE_E39</t>
  </si>
  <si>
    <t xml:space="preserve">    10 09 06 - Non-Hazardous - Casting cores and moulds which have not undergone pouring other than those mentioned in 10 09 05</t>
  </si>
  <si>
    <t>E - 39.0 Remediation activities and other waste management service activities</t>
  </si>
  <si>
    <t>NACE_E390</t>
  </si>
  <si>
    <t xml:space="preserve">    10 09 07 - Hazardous - Casting cores and moulds which have undergone pouring containing hazardous substances</t>
  </si>
  <si>
    <t>E - 39.00 Remediation activities and other waste management service activities</t>
  </si>
  <si>
    <t>NACE_E3900</t>
  </si>
  <si>
    <t xml:space="preserve">    10 09 08 - Non-Hazardous - Casting cores and moulds which have undergone pouring other than those mentioned in 10 09 07</t>
  </si>
  <si>
    <t>F - CONSTRUCTION</t>
  </si>
  <si>
    <t>NACE_F</t>
  </si>
  <si>
    <t xml:space="preserve">    10 09 09 - Hazardous - Flue-gas dust containing hazardous substances</t>
  </si>
  <si>
    <t>F - 41 Construction of residential and non-residential buildings</t>
  </si>
  <si>
    <t>NACE_F41</t>
  </si>
  <si>
    <t xml:space="preserve">    10 09 10 - Non-Hazardous - Flue-gas dust other than those mentioned in 10 09 09</t>
  </si>
  <si>
    <t>F - 41.0 Construction of residential and non-residential buildings</t>
  </si>
  <si>
    <t>NACE_F410</t>
  </si>
  <si>
    <t xml:space="preserve">    10 09 11 - Hazardous - Other particulates containing hazardous substances</t>
  </si>
  <si>
    <t>F - 41.00 Construction of residential and non-residential buildings</t>
  </si>
  <si>
    <t>NACE_F4100</t>
  </si>
  <si>
    <t xml:space="preserve">    10 09 12 - Non-Hazardous - Other particulates other than those mentioned in 10 09 11</t>
  </si>
  <si>
    <t>F - 42 Civil engineering</t>
  </si>
  <si>
    <t>NACE_F42</t>
  </si>
  <si>
    <t xml:space="preserve">    10 09 13 - Hazardous - Waste binders containing hazardous substances</t>
  </si>
  <si>
    <t>F - 42.1 Construction of roads and railways</t>
  </si>
  <si>
    <t>NACE_F421</t>
  </si>
  <si>
    <t xml:space="preserve">    10 09 14 - Non-Hazardous - Waste binders other than those mentioned in 10 09 13</t>
  </si>
  <si>
    <t>F - 42.11 Construction of roads and motorways</t>
  </si>
  <si>
    <t>NACE_F4211</t>
  </si>
  <si>
    <t xml:space="preserve">    10 09 15 - Hazardous - Waste crack-indicating agent containing hazardous substances</t>
  </si>
  <si>
    <t>F - 42.12 Construction of railways and underground railways</t>
  </si>
  <si>
    <t>NACE_F4212</t>
  </si>
  <si>
    <t xml:space="preserve">    10 09 16 - Non-Hazardous - Waste crack-indicating agent other than those mentioned in 10 09 15</t>
  </si>
  <si>
    <t>F - 42.13 Construction of bridges and tunnels</t>
  </si>
  <si>
    <t>NACE_F4213</t>
  </si>
  <si>
    <t xml:space="preserve">    10 09 99 - Non-Hazardous - Wastes not otherwise specified</t>
  </si>
  <si>
    <t>F - 42.2 Construction of utility projects</t>
  </si>
  <si>
    <t>NACE_F422</t>
  </si>
  <si>
    <t xml:space="preserve">  10 10 - Wastes from casting of non-ferrous pieces</t>
  </si>
  <si>
    <t>F - 42.21 Construction of utility projects for fluids</t>
  </si>
  <si>
    <t>NACE_F4221</t>
  </si>
  <si>
    <t xml:space="preserve">    10 10 03 - Non-Hazardous - Furnace slag</t>
  </si>
  <si>
    <t>F - 42.22 Construction of utility projects for electricity and telecommunications</t>
  </si>
  <si>
    <t>NACE_F4222</t>
  </si>
  <si>
    <t xml:space="preserve">    10 10 05 - Hazardous - Casting cores and moulds which have not undergone pouring, containing hazardous substances</t>
  </si>
  <si>
    <t>F - 42.9 Construction of other civil engineering projects</t>
  </si>
  <si>
    <t>NACE_F429</t>
  </si>
  <si>
    <t xml:space="preserve">    10 10 06 - Non-Hazardous - Casting cores and moulds which have not undergone pouring, other than those mentioned in 10 10 05</t>
  </si>
  <si>
    <t>F - 42.91 Construction of water projects</t>
  </si>
  <si>
    <t>NACE_F4291</t>
  </si>
  <si>
    <t xml:space="preserve">    10 10 07 - Hazardous - Casting cores and moulds which have undergone pouring, containing hazardous substances</t>
  </si>
  <si>
    <t>F - 42.99 Construction of other civil engineering projects n.e.c.</t>
  </si>
  <si>
    <t>NACE_F4299</t>
  </si>
  <si>
    <t xml:space="preserve">    10 10 08 - Non-Hazardous - Casting cores and moulds which have undergone pouring, other than those mentioned in 10 10 07</t>
  </si>
  <si>
    <t>F - 43 Specialised construction activities</t>
  </si>
  <si>
    <t>NACE_F43</t>
  </si>
  <si>
    <t xml:space="preserve">    10 10 09 - Hazardous - Flue-gas dust containing hazardous substances</t>
  </si>
  <si>
    <t>F - 43.1 Demolition and site preparation</t>
  </si>
  <si>
    <t>NACE_F431</t>
  </si>
  <si>
    <t xml:space="preserve">    10 10 10 - Non-Hazardous - Flue-gas dust other than those mentioned in 10 10 09</t>
  </si>
  <si>
    <t>F - 43.11 Demolition</t>
  </si>
  <si>
    <t>NACE_F4311</t>
  </si>
  <si>
    <t xml:space="preserve">    10 10 11 - Hazardous - Other particulates containing hazardous substances</t>
  </si>
  <si>
    <t>F - 43.12 Site preparation</t>
  </si>
  <si>
    <t>NACE_F4312</t>
  </si>
  <si>
    <t xml:space="preserve">    10 10 12 - Non-Hazardous - Other particulates other than those mentioned in 10 10 11</t>
  </si>
  <si>
    <t>F - 43.13 Test drilling and boring</t>
  </si>
  <si>
    <t>NACE_F4313</t>
  </si>
  <si>
    <t xml:space="preserve">    10 10 13 - Hazardous - Waste binders containing hazardous substances</t>
  </si>
  <si>
    <t>F - 43.2 Electrical, plumbing and other construction installation activities</t>
  </si>
  <si>
    <t>NACE_F432</t>
  </si>
  <si>
    <t xml:space="preserve">    10 10 14 - Non-Hazardous - Waste binders other than those mentioned in 10 10 13</t>
  </si>
  <si>
    <t>F - 43.21 Electrical installation</t>
  </si>
  <si>
    <t>NACE_F4321</t>
  </si>
  <si>
    <t xml:space="preserve">    10 10 15 - Hazardous - Waste crack-indicating agent containing hazardous substances</t>
  </si>
  <si>
    <t>F - 43.22 Plumbing, heat and air-conditioning installation</t>
  </si>
  <si>
    <t>NACE_F4322</t>
  </si>
  <si>
    <t xml:space="preserve">    10 10 16 - Non-Hazardous - Waste crack-indicating agent other than those mentioned in 10 10 15</t>
  </si>
  <si>
    <t>F - 43.23 Installation of insulation</t>
  </si>
  <si>
    <t>NACE_F4323</t>
  </si>
  <si>
    <t xml:space="preserve">    10 10 99 - Non-Hazardous - Wastes not otherwise specified</t>
  </si>
  <si>
    <t>F - 43.24 Other construction installation</t>
  </si>
  <si>
    <t>NACE_F4324</t>
  </si>
  <si>
    <t xml:space="preserve">  10 11 - Wastes from manufacture of glass and glass products</t>
  </si>
  <si>
    <t>F - 43.3 Building completion and finishing</t>
  </si>
  <si>
    <t>NACE_F433</t>
  </si>
  <si>
    <t xml:space="preserve">    10 11 03 - Non-Hazardous - Waste glass-based fibrous materials</t>
  </si>
  <si>
    <t>F - 43.31 Plastering</t>
  </si>
  <si>
    <t>NACE_F4331</t>
  </si>
  <si>
    <t xml:space="preserve">    10 11 05 - Non-Hazardous - Particulates and dust</t>
  </si>
  <si>
    <t>F - 43.32 Joinery installation</t>
  </si>
  <si>
    <t>NACE_F4332</t>
  </si>
  <si>
    <t xml:space="preserve">    10 11 09 - Hazardous - Waste preparation mixture before thermal processing, containing hazardous substances</t>
  </si>
  <si>
    <t>F - 43.33 Floor and wall covering</t>
  </si>
  <si>
    <t>NACE_F4333</t>
  </si>
  <si>
    <t xml:space="preserve">    10 11 10 - Non-Hazardous - Waste preparation mixture before thermal processing, other than those mentioned in 10 11 09</t>
  </si>
  <si>
    <t>F - 43.34 Painting and glazing</t>
  </si>
  <si>
    <t>NACE_F4334</t>
  </si>
  <si>
    <t xml:space="preserve">    10 11 11 - Hazardous - Waste glass in small particles and glass powder containing heavy metals (for example from cathode ray tubes)</t>
  </si>
  <si>
    <t>F - 43.35 Other building completion and finishing</t>
  </si>
  <si>
    <t>NACE_F4335</t>
  </si>
  <si>
    <t xml:space="preserve">    10 11 12 - Non-Hazardous - Waste glass other than those mentioned in 10 11 11</t>
  </si>
  <si>
    <t>F - 43.4 Specialised construction activities in construction of buildings</t>
  </si>
  <si>
    <t>NACE_F434</t>
  </si>
  <si>
    <t xml:space="preserve">    10 11 13 - Hazardous - Glass-polishing and -grinding sludge containing hazardous substances</t>
  </si>
  <si>
    <t>F - 43.41 Roofing activities</t>
  </si>
  <si>
    <t>NACE_F4341</t>
  </si>
  <si>
    <t xml:space="preserve">    10 11 14 - Non-Hazardous - Glass-polishing and -grinding sludge other than those mentioned in 10 11 13</t>
  </si>
  <si>
    <t>F - 43.42 Other specialised construction activities in construction of buildings</t>
  </si>
  <si>
    <t>NACE_F4342</t>
  </si>
  <si>
    <t xml:space="preserve">    10 11 15 - Hazardous - Solid wastes from flue-gas treatment containing hazardous substances</t>
  </si>
  <si>
    <t>F - 43.5 Specialised construction activities in civil engineering</t>
  </si>
  <si>
    <t>NACE_F435</t>
  </si>
  <si>
    <t xml:space="preserve">    10 11 16 - Non-Hazardous - Solid wastes from flue-gas treatment other than those mentioned in 10 11 15</t>
  </si>
  <si>
    <t>F - 43.50 Specialised construction activities in civil engineering</t>
  </si>
  <si>
    <t>NACE_F4350</t>
  </si>
  <si>
    <t xml:space="preserve">    10 11 17 - Hazardous - Sludges and filter cakes from flue-gas treatment containing hazardous substances</t>
  </si>
  <si>
    <t>F - 43.6 Intermediation service activities for specialised construction services</t>
  </si>
  <si>
    <t>NACE_F436</t>
  </si>
  <si>
    <t xml:space="preserve">    10 11 18 - Non-Hazardous - Sludges and filter cakes from flue-gas treatment other than those mentioned in 10 11 17</t>
  </si>
  <si>
    <t>F - 43.60 Intermediation service activities for specialised construction services</t>
  </si>
  <si>
    <t>NACE_F4360</t>
  </si>
  <si>
    <t xml:space="preserve">    10 11 19 - Hazardous - Solid wastes from on-site effluent treatment containing hazardous substances</t>
  </si>
  <si>
    <t>F - 43.9 Other specialised construction activities</t>
  </si>
  <si>
    <t>NACE_F439</t>
  </si>
  <si>
    <t xml:space="preserve">    10 11 20 - Non-Hazardous - Solid wastes from on-site effluent treatment other than those mentioned in 10 11 19</t>
  </si>
  <si>
    <t>F - 43.91 Masonry and bricklaying activities</t>
  </si>
  <si>
    <t>NACE_F4391</t>
  </si>
  <si>
    <t xml:space="preserve">    10 11 99 - Non-Hazardous - Wastes not otherwise specified</t>
  </si>
  <si>
    <t>F - 43.99 Other specialised construction activities n.e.c.</t>
  </si>
  <si>
    <t>NACE_F4399</t>
  </si>
  <si>
    <t xml:space="preserve">  10 12 - Wastes from manufacture of ceramic goods, bricks, tiles and construction products</t>
  </si>
  <si>
    <t>G - WHOLESALE AND RETAIL TRADE</t>
  </si>
  <si>
    <t>NACE_G</t>
  </si>
  <si>
    <t xml:space="preserve">    10 12 01 - Non-Hazardous - Waste preparation mixture before thermal processing</t>
  </si>
  <si>
    <t>G - 46 Wholesale trade</t>
  </si>
  <si>
    <t>NACE_G46</t>
  </si>
  <si>
    <t xml:space="preserve">    10 12 03 - Non-Hazardous - Particulates and dust</t>
  </si>
  <si>
    <t>G - 46.1 Wholesale on a fee or contract basis</t>
  </si>
  <si>
    <t>NACE_G461</t>
  </si>
  <si>
    <t xml:space="preserve">    10 12 05 - Non-Hazardous - Sludges and filter cakes from gas treatment</t>
  </si>
  <si>
    <t>G - 46.11 Activities of agents involved in the wholesale of agricultural raw materials, live animals, textile raw materials and semi-finished goods</t>
  </si>
  <si>
    <t>NACE_G4611</t>
  </si>
  <si>
    <t xml:space="preserve">    10 12 06 - Non-Hazardous - Discarded moulds</t>
  </si>
  <si>
    <t>G - 46.12 Activities of agents involved in the wholesale of fuels, ores, metals and industrial chemicals</t>
  </si>
  <si>
    <t>NACE_G4612</t>
  </si>
  <si>
    <t xml:space="preserve">    10 12 08 - Non-Hazardous - Waste ceramics, bricks, tiles and construction products (after thermal processing)</t>
  </si>
  <si>
    <t>G - 46.13 Activities of agents involved in the wholesale of timber and building materials</t>
  </si>
  <si>
    <t>NACE_G4613</t>
  </si>
  <si>
    <t xml:space="preserve">    10 12 09 - Hazardous - Solid wastes from gas treatment containing hazardous substances</t>
  </si>
  <si>
    <t>G - 46.14 Activities of agents involved in the wholesale of machinery, industrial equipment, ships and aircraft</t>
  </si>
  <si>
    <t>NACE_G4614</t>
  </si>
  <si>
    <t xml:space="preserve">    10 12 10 - Non-Hazardous - Solid wastes from gas treatment other than those mentioned in 10 12 09</t>
  </si>
  <si>
    <t>G - 46.15 Activities of agents involved in the wholesale of furniture, household goods, hardware and ironmongery</t>
  </si>
  <si>
    <t>NACE_G4615</t>
  </si>
  <si>
    <t xml:space="preserve">    10 12 11 - Hazardous - Wastes from glazing containing heavy metals</t>
  </si>
  <si>
    <t>G - 46.16 Activities of agents involved in the wholesale of textiles, clothing, fur, footwear and leather goods</t>
  </si>
  <si>
    <t>NACE_G4616</t>
  </si>
  <si>
    <t xml:space="preserve">    10 12 12 - Non-Hazardous - Wastes from glazing other than those mentioned in 10 12 11</t>
  </si>
  <si>
    <t>G - 46.17 Activities of agents involved in the wholesale of food, beverages and tobacco</t>
  </si>
  <si>
    <t>NACE_G4617</t>
  </si>
  <si>
    <t xml:space="preserve">    10 12 13 - Non-Hazardous - Sludge from on-site effluent treatment</t>
  </si>
  <si>
    <t>G - 46.18 Activities of agents involved in the wholesale of other particular products</t>
  </si>
  <si>
    <t>NACE_G4618</t>
  </si>
  <si>
    <t xml:space="preserve">    10 12 99 - Non-Hazardous - Wastes not otherwise specified</t>
  </si>
  <si>
    <t>G - 46.19 Activities of agents involved in non-specialised wholesale</t>
  </si>
  <si>
    <t>NACE_G4619</t>
  </si>
  <si>
    <t xml:space="preserve">  10 13 - Wastes from manufacture of cement, lime and plaster and articles and products made from them</t>
  </si>
  <si>
    <t>G - 46.2 Wholesale of agricultural raw materials and live animals</t>
  </si>
  <si>
    <t>NACE_G462</t>
  </si>
  <si>
    <t xml:space="preserve">    10 13 01 - Non-Hazardous - Waste preparation mixture before thermal processing</t>
  </si>
  <si>
    <t>G - 46.21 Wholesale of grain, unmanufactured tobacco, seeds and animal feeds</t>
  </si>
  <si>
    <t>NACE_G4621</t>
  </si>
  <si>
    <t xml:space="preserve">    10 13 04 - Non-Hazardous - Wastes from calcination and hydration of lime</t>
  </si>
  <si>
    <t>G - 46.22 Wholesale of flowers and plants</t>
  </si>
  <si>
    <t>NACE_G4622</t>
  </si>
  <si>
    <t xml:space="preserve">    10 13 06 - Non-Hazardous - Particulates and dust (except 10 13 12 and 10 13 13)</t>
  </si>
  <si>
    <t>G - 46.23 Wholesale of live animals</t>
  </si>
  <si>
    <t>NACE_G4623</t>
  </si>
  <si>
    <t xml:space="preserve">    10 13 07 - Non-Hazardous - Sludges and filter cakes from gas treatment</t>
  </si>
  <si>
    <t>G - 46.24 Wholesale of hides, skins and leather</t>
  </si>
  <si>
    <t>NACE_G4624</t>
  </si>
  <si>
    <t xml:space="preserve">    10 13 09 - Hazardous - Wastes from asbestos-cement manufacture containing asbestos</t>
  </si>
  <si>
    <t>G - 46.3 Wholesale of food, beverages and tobacco</t>
  </si>
  <si>
    <t>NACE_G463</t>
  </si>
  <si>
    <t xml:space="preserve">    10 13 10 - Non-Hazardous - Wastes from asbestos-cement manufacture other than those mentioned in 10 13 09</t>
  </si>
  <si>
    <t>G - 46.31 Wholesale of fruit and vegetables</t>
  </si>
  <si>
    <t>NACE_G4631</t>
  </si>
  <si>
    <t xml:space="preserve">    10 13 11 - Non-Hazardous - Wastes from cement-based composite materials other than those mentioned in 10 13 09 and 10 13 10</t>
  </si>
  <si>
    <t>G - 46.32 Wholesale of meat, meat products, fish and fish products</t>
  </si>
  <si>
    <t>NACE_G4632</t>
  </si>
  <si>
    <t xml:space="preserve">    10 13 12 - Hazardous - Solid wastes from gas treatment containing hazardous substances</t>
  </si>
  <si>
    <t>G - 46.33 Wholesale of dairy products, eggs and edible oils and fats</t>
  </si>
  <si>
    <t>NACE_G4633</t>
  </si>
  <si>
    <t xml:space="preserve">    10 13 13 - Non-Hazardous - Solid wastes from gas treatment other than those mentioned in 10 13 12</t>
  </si>
  <si>
    <t>G - 46.34 Wholesale of beverages</t>
  </si>
  <si>
    <t>NACE_G4634</t>
  </si>
  <si>
    <t xml:space="preserve">    10 13 14 - Non-Hazardous - Waste concrete and concrete sludge</t>
  </si>
  <si>
    <t>G - 46.35 Wholesale of tobacco products</t>
  </si>
  <si>
    <t>NACE_G4635</t>
  </si>
  <si>
    <t xml:space="preserve">    10 13 99 - Non-Hazardous - Wastes not otherwise specified</t>
  </si>
  <si>
    <t>G - 46.36 Wholesale of sugar, chocolate and sugar confectionery</t>
  </si>
  <si>
    <t>NACE_G4636</t>
  </si>
  <si>
    <t xml:space="preserve">  10 14 - Waste from crematoria</t>
  </si>
  <si>
    <t>G - 46.37 Wholesale of coffee, tea, cocoa and spices</t>
  </si>
  <si>
    <t>NACE_G4637</t>
  </si>
  <si>
    <t xml:space="preserve">    10 14 01 - Hazardous - Waste from gas cleaning containing mercury</t>
  </si>
  <si>
    <t>G - 46.38 Wholesale of other food</t>
  </si>
  <si>
    <t>NACE_G4638</t>
  </si>
  <si>
    <t>11 - WASTES FROM CHEMICAL SURFACE TREATMENT AND COATING OF METALS AND OTHER MATERIALS; NON-FERROUS HYDRO-METALLURGY</t>
  </si>
  <si>
    <t>G - 46.39 Non-specialised wholesale of food, beverages and tobacco</t>
  </si>
  <si>
    <t>NACE_G4639</t>
  </si>
  <si>
    <t xml:space="preserve">  11 01 - Wastes from chemical surface treatment and coating of metals and other materials (for example galvanic processes, zinc coating processes, pickling processes, etching, phosphating, alkaline degreasing, anodising)</t>
  </si>
  <si>
    <t>G - 46.4 Wholesale of household goods</t>
  </si>
  <si>
    <t>NACE_G464</t>
  </si>
  <si>
    <t xml:space="preserve">    11 01 05 - Hazardous - Pickling acids</t>
  </si>
  <si>
    <t>G - 46.41 Wholesale of textiles</t>
  </si>
  <si>
    <t>NACE_G4641</t>
  </si>
  <si>
    <t xml:space="preserve">    11 01 06 - Hazardous - Acids not otherwise specified</t>
  </si>
  <si>
    <t>G - 46.42 Wholesale of clothing and footwear</t>
  </si>
  <si>
    <t>NACE_G4642</t>
  </si>
  <si>
    <t xml:space="preserve">    11 01 07 - Hazardous - Pickling bases</t>
  </si>
  <si>
    <t>G - 46.43 Wholesale of electrical household appliances</t>
  </si>
  <si>
    <t>NACE_G4643</t>
  </si>
  <si>
    <t xml:space="preserve">    11 01 08 - Hazardous - Phosphatising sludges</t>
  </si>
  <si>
    <t>G - 46.44 Wholesale of china and glassware and cleaning materials</t>
  </si>
  <si>
    <t>NACE_G4644</t>
  </si>
  <si>
    <t xml:space="preserve">    11 01 09 - Hazardous - Sludges and filter cakes containing hazardous substances</t>
  </si>
  <si>
    <t>G - 46.45 Wholesale of perfume and cosmetics</t>
  </si>
  <si>
    <t>NACE_G4645</t>
  </si>
  <si>
    <t xml:space="preserve">    11 01 10 - Non-Hazardous - Sludges and filter cakes other than those mentioned in 11 01 09</t>
  </si>
  <si>
    <t>G - 46.46 Wholesale of pharmaceutical and medical goods</t>
  </si>
  <si>
    <t>NACE_G4646</t>
  </si>
  <si>
    <t xml:space="preserve">    11 01 11 - Hazardous - Aqueous rinsing liquids containing hazardous substances</t>
  </si>
  <si>
    <t>G - 46.47 Wholesale of household, office and shop furniture, carpets and lighting equipment</t>
  </si>
  <si>
    <t>NACE_G4647</t>
  </si>
  <si>
    <t xml:space="preserve">    11 01 12 - Non-Hazardous - Aqueous rinsing liquids other than those mentioned in 11 01 11</t>
  </si>
  <si>
    <t>G - 46.48 Wholesale of watches and jewellery</t>
  </si>
  <si>
    <t>NACE_G4648</t>
  </si>
  <si>
    <t xml:space="preserve">    11 01 13 - Hazardous - Degreasing wastes containing hazardous substances</t>
  </si>
  <si>
    <t>G - 46.49 Wholesale of other household goods</t>
  </si>
  <si>
    <t>NACE_G4649</t>
  </si>
  <si>
    <t xml:space="preserve">    11 01 14 - Non-Hazardous - Degreasing wastes other than those mentioned in 11 01 13</t>
  </si>
  <si>
    <t>G - 46.5 Wholesale of information and communication equipment</t>
  </si>
  <si>
    <t>NACE_G465</t>
  </si>
  <si>
    <t xml:space="preserve">    11 01 15 - Hazardous - Eluate and sludges from membrane systems or ion exchange systems containing hazardous substances</t>
  </si>
  <si>
    <t>G - 46.50 Wholesale of information and communication equipment</t>
  </si>
  <si>
    <t>NACE_G4650</t>
  </si>
  <si>
    <t xml:space="preserve">    11 01 16 - Hazardous - Saturated or spent ion exchange resins</t>
  </si>
  <si>
    <t>G - 46.6 Wholesale of other machinery, equipment and supplies</t>
  </si>
  <si>
    <t>NACE_G466</t>
  </si>
  <si>
    <t xml:space="preserve">    11 01 98 - Hazardous - Other wastes containing hazardous substances</t>
  </si>
  <si>
    <t>G - 46.61 Wholesale of agricultural machinery, equipment and supplies</t>
  </si>
  <si>
    <t>NACE_G4661</t>
  </si>
  <si>
    <t xml:space="preserve">    11 01 99 - Non-Hazardous - Wastes not otherwise specified</t>
  </si>
  <si>
    <t>G - 46.62 Wholesale of machine tools</t>
  </si>
  <si>
    <t>NACE_G4662</t>
  </si>
  <si>
    <t xml:space="preserve">  11 02 - Wastes from non-ferrous hydrometallurgical processes</t>
  </si>
  <si>
    <t>G - 46.63 Wholesale of mining, construction and civil engineering machinery</t>
  </si>
  <si>
    <t>NACE_G4663</t>
  </si>
  <si>
    <t xml:space="preserve">    11 02 02 - Hazardous - Sludges from zinc hydrometallurgy (including jarosite, goethite)</t>
  </si>
  <si>
    <t>G - 46.64 Wholesale of other machinery and equipment</t>
  </si>
  <si>
    <t>NACE_G4664</t>
  </si>
  <si>
    <t xml:space="preserve">    11 02 03 - Non-Hazardous - Wastes from the production of anodes for aqueous electrolytical processes</t>
  </si>
  <si>
    <t>G - 46.7 Wholesale of motor vehicles, motorcycles and related parts and accessories</t>
  </si>
  <si>
    <t>NACE_G467</t>
  </si>
  <si>
    <t xml:space="preserve">    11 02 05 - Hazardous - Wastes from copper hydrometallurgical processes containing hazardous substances</t>
  </si>
  <si>
    <t>G - 46.71 Wholesale of motor vehicles</t>
  </si>
  <si>
    <t>NACE_G4671</t>
  </si>
  <si>
    <t xml:space="preserve">    11 02 06 - Non-Hazardous - Wastes from copper hydrometallurgical processes other than those mentioned in 11 02 05</t>
  </si>
  <si>
    <t>G - 46.72 Wholesale of motor vehicle parts and accessories</t>
  </si>
  <si>
    <t>NACE_G4672</t>
  </si>
  <si>
    <t xml:space="preserve">    11 02 07 - Hazardous - Other wastes containing hazardous substances</t>
  </si>
  <si>
    <t>G - 46.73 Wholesale of motorcycles, motorcycle parts and accessories</t>
  </si>
  <si>
    <t>NACE_G4673</t>
  </si>
  <si>
    <t xml:space="preserve">    11 02 99 - Non-Hazardous - Wastes not otherwise specified</t>
  </si>
  <si>
    <t>G - 46.8 Other specialised wholesale</t>
  </si>
  <si>
    <t>NACE_G468</t>
  </si>
  <si>
    <t xml:space="preserve">  11 03 - Sludges and solids from tempering processes</t>
  </si>
  <si>
    <t>G - 46.81 Wholesale of solid, liquid and gaseous fuels and related products</t>
  </si>
  <si>
    <t>NACE_G4681</t>
  </si>
  <si>
    <t xml:space="preserve">    11 03 01 - Hazardous - Wastes containing cyanide</t>
  </si>
  <si>
    <t>G - 46.82 Wholesale of metals and metal ores</t>
  </si>
  <si>
    <t>NACE_G4682</t>
  </si>
  <si>
    <t xml:space="preserve">    11 03 02 - Hazardous - Other wastes</t>
  </si>
  <si>
    <t>G - 46.83 Wholesale of wood, construction materials and sanitary equipment</t>
  </si>
  <si>
    <t>NACE_G4683</t>
  </si>
  <si>
    <t xml:space="preserve">  11 05 - Wastes from hot galvanising processes</t>
  </si>
  <si>
    <t>G - 46.84 Wholesale of hardware, plumbing and heating equipment and supplies</t>
  </si>
  <si>
    <t>NACE_G4684</t>
  </si>
  <si>
    <t xml:space="preserve">    11 05 01 - Non-Hazardous - Hard zinc</t>
  </si>
  <si>
    <t>G - 46.85 Wholesale of chemical products</t>
  </si>
  <si>
    <t>NACE_G4685</t>
  </si>
  <si>
    <t xml:space="preserve">    11 05 02 - Non-Hazardous - Zinc ash</t>
  </si>
  <si>
    <t>G - 46.86 Wholesale of other intermediate products</t>
  </si>
  <si>
    <t>NACE_G4686</t>
  </si>
  <si>
    <t xml:space="preserve">    11 05 03 - Hazardous - Solid wastes from gas treatment</t>
  </si>
  <si>
    <t>G - 46.87 Wholesale of waste and scrap</t>
  </si>
  <si>
    <t>NACE_G4687</t>
  </si>
  <si>
    <t xml:space="preserve">    11 05 04 - Hazardous - Spent flux</t>
  </si>
  <si>
    <t>G - 46.89 Other specialised wholesale n.e.c.</t>
  </si>
  <si>
    <t>NACE_G4689</t>
  </si>
  <si>
    <t xml:space="preserve">    11 05 99 - Non-Hazardous - Wastes not otherwise specified</t>
  </si>
  <si>
    <t>G - 46.9 Non-specialised wholesale trade</t>
  </si>
  <si>
    <t>NACE_G469</t>
  </si>
  <si>
    <t>12 - WASTES FROM SHAPING AND PHYSICAL AND MECHANICAL SURFACE TREATMENT OF METALS AND PLASTICS</t>
  </si>
  <si>
    <t>G - 46.90 Non-specialised wholesale trade</t>
  </si>
  <si>
    <t>NACE_G4690</t>
  </si>
  <si>
    <t xml:space="preserve">  12 01 - Wastes from shaping and physical and mechanical surface treatment of metals and plastics</t>
  </si>
  <si>
    <t>G - 47 Retail trade</t>
  </si>
  <si>
    <t>NACE_G47</t>
  </si>
  <si>
    <t xml:space="preserve">    12 01 01 - Non-Hazardous - Ferrous metal filings and turnings</t>
  </si>
  <si>
    <t>G - 47.1 Non-specialised retail sale</t>
  </si>
  <si>
    <t>NACE_G471</t>
  </si>
  <si>
    <t xml:space="preserve">    12 01 02 - Non-Hazardous - Ferrous metal dust and particles</t>
  </si>
  <si>
    <t>G - 47.11 Non-specialised retail sale of predominately food, beverages or tobacco</t>
  </si>
  <si>
    <t>NACE_G4711</t>
  </si>
  <si>
    <t xml:space="preserve">    12 01 03 - Non-Hazardous - Non-ferrous metal filings and turnings</t>
  </si>
  <si>
    <t>G - 47.12 Other non-specialised retail sale</t>
  </si>
  <si>
    <t>NACE_G4712</t>
  </si>
  <si>
    <t xml:space="preserve">    12 01 04 - Non-Hazardous - Non-ferrous metal dust and particles</t>
  </si>
  <si>
    <t>G - 47.2 Retail sale of food, beverages and tobacco</t>
  </si>
  <si>
    <t>NACE_G472</t>
  </si>
  <si>
    <t xml:space="preserve">    12 01 05 - Non-Hazardous - Plastics shavings and turnings</t>
  </si>
  <si>
    <t>G - 47.21 Retail sale of fruit and vegetables</t>
  </si>
  <si>
    <t>NACE_G4721</t>
  </si>
  <si>
    <t xml:space="preserve">    12 01 06 - Hazardous - Mineral-based machining oils containing halogens (except emulsions and solutions)</t>
  </si>
  <si>
    <t>G - 47.22 Retail sale of meat and meat products</t>
  </si>
  <si>
    <t>NACE_G4722</t>
  </si>
  <si>
    <t xml:space="preserve">    12 01 07 - Hazardous - Mineral-based machining oils free of halogens (except emulsions and solutions)</t>
  </si>
  <si>
    <t>G - 47.23 Retail sale of fish, crustaceans and molluscs</t>
  </si>
  <si>
    <t>NACE_G4723</t>
  </si>
  <si>
    <t xml:space="preserve">    12 01 08 - Hazardous - Machining emulsions and solutions containing halogens</t>
  </si>
  <si>
    <t>G - 47.24 Retail sale of bread, cake and confectionery</t>
  </si>
  <si>
    <t>NACE_G4724</t>
  </si>
  <si>
    <t xml:space="preserve">    12 01 09 - Hazardous - Machining emulsions and solutions free of halogens</t>
  </si>
  <si>
    <t>G - 47.25 Retail sale of beverages</t>
  </si>
  <si>
    <t>NACE_G4725</t>
  </si>
  <si>
    <t xml:space="preserve">    12 01 10 - Hazardous - Synthetic machining oils</t>
  </si>
  <si>
    <t>G - 47.26 Retail sale of tobacco products</t>
  </si>
  <si>
    <t>NACE_G4726</t>
  </si>
  <si>
    <t xml:space="preserve">    12 01 12 - Hazardous - Spent waxes and fats</t>
  </si>
  <si>
    <t>G - 47.27 Retail sale of other food</t>
  </si>
  <si>
    <t>NACE_G4727</t>
  </si>
  <si>
    <t xml:space="preserve">    12 01 13 - Non-Hazardous - Welding wastes</t>
  </si>
  <si>
    <t>G - 47.3 Retail sale of automotive fuel</t>
  </si>
  <si>
    <t>NACE_G473</t>
  </si>
  <si>
    <t xml:space="preserve">    12 01 14 - Hazardous - Machining sludges containing hazardous substances</t>
  </si>
  <si>
    <t>G - 47.30 Retail sale of automotive fuel</t>
  </si>
  <si>
    <t>NACE_G4730</t>
  </si>
  <si>
    <t xml:space="preserve">    12 01 15 - Non-Hazardous - Machining sludges other than those mentioned in 12 01 14</t>
  </si>
  <si>
    <t>G - 47.4 Retail sale of information and communication equipment</t>
  </si>
  <si>
    <t>NACE_G474</t>
  </si>
  <si>
    <t xml:space="preserve">    12 01 16 - Hazardous - Waste blasting material containing hazardous substances</t>
  </si>
  <si>
    <t>G - 47.40 Retail sale of information and communication equipment</t>
  </si>
  <si>
    <t>NACE_G4740</t>
  </si>
  <si>
    <t xml:space="preserve">    12 01 17 - Non-Hazardous - Waste blasting material other than those mentioned in 12 01 16</t>
  </si>
  <si>
    <t>G - 47.5 Retail sale of other household equipment</t>
  </si>
  <si>
    <t>NACE_G475</t>
  </si>
  <si>
    <t xml:space="preserve">    12 01 18 - Hazardous - Metal sludge (grinding, honing and lapping sludge) containing oil</t>
  </si>
  <si>
    <t>G - 47.51 Retail sale of textiles</t>
  </si>
  <si>
    <t>NACE_G4751</t>
  </si>
  <si>
    <t xml:space="preserve">    12 01 19 - Hazardous - Readily biodegradable machining oil</t>
  </si>
  <si>
    <t>G - 47.52 Retail sale of hardware, building materials, paints and glass</t>
  </si>
  <si>
    <t>NACE_G4752</t>
  </si>
  <si>
    <t xml:space="preserve">    12 01 20 - Hazardous - Spent grinding bodies and grinding materials containing hazardous substances</t>
  </si>
  <si>
    <t>G - 47.53 Retail sale of carpets, rugs, wall and floor coverings</t>
  </si>
  <si>
    <t>NACE_G4753</t>
  </si>
  <si>
    <t xml:space="preserve">    12 01 21 - Non-Hazardous - Spent grinding bodies and grinding materials other than those mentioned in 12 01 20</t>
  </si>
  <si>
    <t>G - 47.54 Retail sale of electrical household appliances</t>
  </si>
  <si>
    <t>NACE_G4754</t>
  </si>
  <si>
    <t xml:space="preserve">    12 01 99 - Non-Hazardous - Wastes not otherwise specified</t>
  </si>
  <si>
    <t>G - 47.55 Retail sale of furniture, lighting equipment, tableware and other household goods</t>
  </si>
  <si>
    <t>NACE_G4755</t>
  </si>
  <si>
    <t xml:space="preserve">  12 03 - Wastes from water and steam degreasing processes (except 11)</t>
  </si>
  <si>
    <t>G - 47.6 Retail sale of cultural and recreation goods</t>
  </si>
  <si>
    <t>NACE_G476</t>
  </si>
  <si>
    <t xml:space="preserve">    12 03 01 - Hazardous - Aqueous washing liquids</t>
  </si>
  <si>
    <t>G - 47.61 Retail sale of books</t>
  </si>
  <si>
    <t>NACE_G4761</t>
  </si>
  <si>
    <t xml:space="preserve">    12 03 02 - Hazardous - Steam degreasing wastes</t>
  </si>
  <si>
    <t>G - 47.62 Retail sale of newspapers, and other periodical publications and stationery</t>
  </si>
  <si>
    <t>NACE_G4762</t>
  </si>
  <si>
    <t>13 - OIL WASTES AND WASTES OF LIQUID FUELS (except edible oils, and those in chapters 05, 12 and 19)</t>
  </si>
  <si>
    <t>G - 47.63 Retail sale of sporting equipment</t>
  </si>
  <si>
    <t>NACE_G4763</t>
  </si>
  <si>
    <t xml:space="preserve">  13 01 - Waste hydraulic oils</t>
  </si>
  <si>
    <t>G - 47.64 Retail sale of games and toys</t>
  </si>
  <si>
    <t>NACE_G4764</t>
  </si>
  <si>
    <t xml:space="preserve">    13 01 01 - Hazardous - Hydraulic oils, containing PCBs</t>
  </si>
  <si>
    <t>G - 47.69 Retail sale of cultural and recreational goods n.e.c.</t>
  </si>
  <si>
    <t>NACE_G4769</t>
  </si>
  <si>
    <t xml:space="preserve">    13 01 04 - Hazardous - Chlorinated emulsions</t>
  </si>
  <si>
    <t>G - 47.7 Retail sale of other goods, except motor vehicles and motorcycles</t>
  </si>
  <si>
    <t>NACE_G477</t>
  </si>
  <si>
    <t xml:space="preserve">    13 01 05 - Hazardous - Non-chlorinated emulsions</t>
  </si>
  <si>
    <t>G - 47.71 Retail sale of clothing</t>
  </si>
  <si>
    <t>NACE_G4771</t>
  </si>
  <si>
    <t xml:space="preserve">    13 01 09 - Hazardous - Mineral-based chlorinated hydraulic oils</t>
  </si>
  <si>
    <t>G - 47.72 Retail sale of footwear and leather goods</t>
  </si>
  <si>
    <t>NACE_G4772</t>
  </si>
  <si>
    <t xml:space="preserve">    13 01 10 - Hazardous - Mineral based non-chlorinated hydraulic oils</t>
  </si>
  <si>
    <t>G - 47.73 Retail sale of pharmaceutical products</t>
  </si>
  <si>
    <t>NACE_G4773</t>
  </si>
  <si>
    <t xml:space="preserve">    13 01 11 - Hazardous - Synthetic hydraulic oils</t>
  </si>
  <si>
    <t>G - 47.74 Retail sale of medical and orthopaedic goods</t>
  </si>
  <si>
    <t>NACE_G4774</t>
  </si>
  <si>
    <t xml:space="preserve">    13 01 12 - Hazardous - Readily biodegradable hydraulic oils</t>
  </si>
  <si>
    <t>G - 47.75 Retail sale of cosmetic and toilet articles</t>
  </si>
  <si>
    <t>NACE_G4775</t>
  </si>
  <si>
    <t xml:space="preserve">    13 01 13 - Hazardous - Other hydraulic oils</t>
  </si>
  <si>
    <t>G - 47.76 Retail sale of flowers, plants, fertilisers, pets and pet food</t>
  </si>
  <si>
    <t>NACE_G4776</t>
  </si>
  <si>
    <t xml:space="preserve">  13 02 - Waste engine, gear and lubricating oils</t>
  </si>
  <si>
    <t>G - 47.77 Retail sale of watches and jewellery</t>
  </si>
  <si>
    <t>NACE_G4777</t>
  </si>
  <si>
    <t xml:space="preserve">    13 02 04 - Hazardous - Mineral-based chlorinated engine, gear and lubricating oils</t>
  </si>
  <si>
    <t>G - 47.78 Retail sale of other new goods</t>
  </si>
  <si>
    <t>NACE_G4778</t>
  </si>
  <si>
    <t xml:space="preserve">    13 02 05 - Hazardous - Mineral-based non-chlorinated engine, gear and lubricating oils</t>
  </si>
  <si>
    <t>G - 47.79 Retail sale of second-hand goods</t>
  </si>
  <si>
    <t>NACE_G4779</t>
  </si>
  <si>
    <t xml:space="preserve">    13 02 06 - Hazardous - Synthetic engine, gear and lubricating oils</t>
  </si>
  <si>
    <t>G - 47.8 Retail sale of motor vehicles, motorcycles and related parts and accessories</t>
  </si>
  <si>
    <t>NACE_G478</t>
  </si>
  <si>
    <t xml:space="preserve">    13 02 07 - Hazardous - Readily biodegradable engine, gear and lubricating oils</t>
  </si>
  <si>
    <t>G - 47.81 Retail sale of motor vehicles</t>
  </si>
  <si>
    <t>NACE_G4781</t>
  </si>
  <si>
    <t xml:space="preserve">    13 02 08 - Hazardous - Other engine, gear and lubricating oils</t>
  </si>
  <si>
    <t>G - 47.82 Retail sale of motor vehicle parts and accessories</t>
  </si>
  <si>
    <t>NACE_G4782</t>
  </si>
  <si>
    <t xml:space="preserve">  13 03 - Waste insulating and heat transmission oils</t>
  </si>
  <si>
    <t>G - 47.83 Retail sale of motorcycles, motorcycle parts and accessories</t>
  </si>
  <si>
    <t>NACE_G4783</t>
  </si>
  <si>
    <t xml:space="preserve">    13 03 01 - Hazardous - Insulating or heat transmission oils containing PCBs</t>
  </si>
  <si>
    <t>G - 47.9 Intermediation service activities for retail sale</t>
  </si>
  <si>
    <t>NACE_G479</t>
  </si>
  <si>
    <t xml:space="preserve">    13 03 06 - Hazardous - Mineral-based chlorinated insulating and heat transmission oils other than those mentioned in 13 03 01</t>
  </si>
  <si>
    <t>G - 47.91 Intermediation service activities for non-specialised retail sale</t>
  </si>
  <si>
    <t>NACE_G4791</t>
  </si>
  <si>
    <t xml:space="preserve">    13 03 07 - Hazardous - Mineral-based non-chlorinated insulating and heat transmission oils</t>
  </si>
  <si>
    <t>G - 47.92 Intermediation service activities for specialised retail sale</t>
  </si>
  <si>
    <t>NACE_G4792</t>
  </si>
  <si>
    <t xml:space="preserve">    13 03 08 - Hazardous - Synthetic insulating and heat transmission oils</t>
  </si>
  <si>
    <t>H - TRANSPORTATION AND STORAGE</t>
  </si>
  <si>
    <t>NACE_H</t>
  </si>
  <si>
    <t xml:space="preserve">    13 03 09 - Hazardous - Readily biodegradable insulating and heat transmission oils</t>
  </si>
  <si>
    <t>H - 49 Land transport and transport via pipelines</t>
  </si>
  <si>
    <t>NACE_H49</t>
  </si>
  <si>
    <t xml:space="preserve">    13 03 10 - Hazardous - Other insulating and heat transmission oils</t>
  </si>
  <si>
    <t>H - 49.1 Passenger rail transport</t>
  </si>
  <si>
    <t>NACE_H491</t>
  </si>
  <si>
    <t xml:space="preserve">  13 04 - Bilge oils</t>
  </si>
  <si>
    <t>H - 49.11 Passenger heavy rail transport</t>
  </si>
  <si>
    <t>NACE_H4911</t>
  </si>
  <si>
    <t xml:space="preserve">    13 04 01 - Hazardous - Bilge oils from inland navigation</t>
  </si>
  <si>
    <t>H - 49.12 Other passenger rail transport</t>
  </si>
  <si>
    <t>NACE_H4912</t>
  </si>
  <si>
    <t xml:space="preserve">    13 04 02 - Hazardous - Bilge oils from jetty sewers</t>
  </si>
  <si>
    <t>H - 49.2 Freight rail transport</t>
  </si>
  <si>
    <t>NACE_H492</t>
  </si>
  <si>
    <t xml:space="preserve">    13 04 03 - Hazardous - Bilge oils from other navigation</t>
  </si>
  <si>
    <t>H - 49.20 Freight rail transport</t>
  </si>
  <si>
    <t>NACE_H4920</t>
  </si>
  <si>
    <t xml:space="preserve">  13 05 - Oil/water separator contents</t>
  </si>
  <si>
    <t>H - 49.3 Other passenger land transport</t>
  </si>
  <si>
    <t>NACE_H493</t>
  </si>
  <si>
    <t xml:space="preserve">    13 05 01 - Hazardous - Solids from grit chambers and oil/water separators</t>
  </si>
  <si>
    <t>H - 49.31 Scheduled passenger transport by road</t>
  </si>
  <si>
    <t>NACE_H4931</t>
  </si>
  <si>
    <t xml:space="preserve">    13 05 02 - Hazardous - Sludges from oil/water separators</t>
  </si>
  <si>
    <t>H - 49.32 Non-scheduled passenger transport by road</t>
  </si>
  <si>
    <t>NACE_H4932</t>
  </si>
  <si>
    <t xml:space="preserve">    13 05 03 - Hazardous - Interceptor sludges</t>
  </si>
  <si>
    <t>H - 49.33 On-demand passenger transport service activities by vehicle with driver</t>
  </si>
  <si>
    <t>NACE_H4933</t>
  </si>
  <si>
    <t xml:space="preserve">    13 05 06 - Hazardous - Oil from oil/water separators</t>
  </si>
  <si>
    <t>H - 49.34 Passenger transport by cableways and ski lifts</t>
  </si>
  <si>
    <t>NACE_H4934</t>
  </si>
  <si>
    <t xml:space="preserve">    13 05 07 - Hazardous - Oily water from oil/water separators</t>
  </si>
  <si>
    <t>H - 49.39 Other passenger land transport n.e.c.</t>
  </si>
  <si>
    <t>NACE_H4939</t>
  </si>
  <si>
    <t xml:space="preserve">    13 05 08 - Hazardous - Mixtures of wastes from grit chambers and oil/water separators</t>
  </si>
  <si>
    <t>H - 49.4 Freight transport by road and removal services</t>
  </si>
  <si>
    <t>NACE_H494</t>
  </si>
  <si>
    <t xml:space="preserve">  13 07 - Wastes of liquid fuels</t>
  </si>
  <si>
    <t>H - 49.41 Freight transport by road</t>
  </si>
  <si>
    <t>NACE_H4941</t>
  </si>
  <si>
    <t xml:space="preserve">    13 07 01 - Hazardous - Fuel oil and diesel</t>
  </si>
  <si>
    <t>H - 49.42 Removal services</t>
  </si>
  <si>
    <t>NACE_H4942</t>
  </si>
  <si>
    <t xml:space="preserve">    13 07 02 - Hazardous - Petrol</t>
  </si>
  <si>
    <t>H - 49.5 Transport via pipeline</t>
  </si>
  <si>
    <t>NACE_H495</t>
  </si>
  <si>
    <t xml:space="preserve">    13 07 03 - Hazardous - Other fuels (including mixtures)</t>
  </si>
  <si>
    <t>H - 49.50 Transport via pipeline</t>
  </si>
  <si>
    <t>NACE_H4950</t>
  </si>
  <si>
    <t xml:space="preserve">  13 08 - Oil wastes not otherwise specified</t>
  </si>
  <si>
    <t>H - 50 Water transport</t>
  </si>
  <si>
    <t>NACE_H50</t>
  </si>
  <si>
    <t xml:space="preserve">    13 08 01 - Hazardous - Desalter sludges or emulsions</t>
  </si>
  <si>
    <t>H - 50.1 Sea and coastal passenger water transport</t>
  </si>
  <si>
    <t>NACE_H501</t>
  </si>
  <si>
    <t xml:space="preserve">    13 08 02 - Hazardous - Other emulsions</t>
  </si>
  <si>
    <t>H - 50.10 Sea and coastal passenger water transport</t>
  </si>
  <si>
    <t>NACE_H5010</t>
  </si>
  <si>
    <t xml:space="preserve">    13 08 99 - Hazardous - Wastes not otherwise specified</t>
  </si>
  <si>
    <t>H - 50.2 Sea and coastal freight water transport</t>
  </si>
  <si>
    <t>NACE_H502</t>
  </si>
  <si>
    <t>14 - WASTE ORGANIC SOLVENTS, REFRIGERANTS AND PROPELLANTS (except 07 and 08)</t>
  </si>
  <si>
    <t>H - 50.20 Sea and coastal freight water transport</t>
  </si>
  <si>
    <t>NACE_H5020</t>
  </si>
  <si>
    <t xml:space="preserve">  14 06 - Waste organic solvents, refrigerants and foam/aerosol propellants</t>
  </si>
  <si>
    <t>H - 50.3 Inland passenger water transport</t>
  </si>
  <si>
    <t>NACE_H503</t>
  </si>
  <si>
    <t xml:space="preserve">    14 06 01 - Hazardous - Chlorofluorocarbons, HCFC, HFC</t>
  </si>
  <si>
    <t>H - 50.30 Inland passenger water transport</t>
  </si>
  <si>
    <t>NACE_H5030</t>
  </si>
  <si>
    <t xml:space="preserve">    14 06 02 - Hazardous - Other halogenated solvents and solvent mixtures</t>
  </si>
  <si>
    <t>H - 50.4 Inland freight water transport</t>
  </si>
  <si>
    <t>NACE_H504</t>
  </si>
  <si>
    <t xml:space="preserve">    14 06 03 - Hazardous - Other solvents and solvent mixtures</t>
  </si>
  <si>
    <t>H - 50.40 Inland freight water transport</t>
  </si>
  <si>
    <t>NACE_H5040</t>
  </si>
  <si>
    <t xml:space="preserve">    14 06 04 - Hazardous - Sludges or solid wastes containing halogenated solvents</t>
  </si>
  <si>
    <t>H - 51 Air transport</t>
  </si>
  <si>
    <t>NACE_H51</t>
  </si>
  <si>
    <t xml:space="preserve">    14 06 05 - Hazardous - Sludges or solid wastes containing other solvents</t>
  </si>
  <si>
    <t>H - 51.1 Passenger air transport</t>
  </si>
  <si>
    <t>NACE_H511</t>
  </si>
  <si>
    <t>15 - WASTE PACKAGING; ABSORBENTS, WIPING CLOTHS, FILTER MATERIALS AND PROTECTIVE CLOTHING NOT OTHERWISE SPECIFIED</t>
  </si>
  <si>
    <t>H - 51.10 Passenger air transport</t>
  </si>
  <si>
    <t>NACE_H5110</t>
  </si>
  <si>
    <t xml:space="preserve">  15 01 - Packaging (including separately collected municipal packaging waste)</t>
  </si>
  <si>
    <t>H - 51.2 Freight air transport and space transport</t>
  </si>
  <si>
    <t>NACE_H512</t>
  </si>
  <si>
    <t>H - 51.21 Freight air transport</t>
  </si>
  <si>
    <t>NACE_H5121</t>
  </si>
  <si>
    <t>H - 51.22 Space transport</t>
  </si>
  <si>
    <t>NACE_H5122</t>
  </si>
  <si>
    <t>H - 52 Warehousing, storage and support activities for transportation</t>
  </si>
  <si>
    <t>NACE_H52</t>
  </si>
  <si>
    <t xml:space="preserve">    15 01 04 - Non-Hazardous - Metallic packaging</t>
  </si>
  <si>
    <t>H - 52.1 Warehousing and storage</t>
  </si>
  <si>
    <t>NACE_H521</t>
  </si>
  <si>
    <t xml:space="preserve">    15 01 05 - Non-Hazardous - Composite packaging</t>
  </si>
  <si>
    <t>H - 52.10 Warehousing and storage</t>
  </si>
  <si>
    <t>NACE_H5210</t>
  </si>
  <si>
    <t xml:space="preserve">    15 01 06 - Non-Hazardous - Mixed packaging</t>
  </si>
  <si>
    <t>H - 52.2 Support activities for transportation</t>
  </si>
  <si>
    <t>NACE_H522</t>
  </si>
  <si>
    <t xml:space="preserve">    15 01 07 - Non-Hazardous - Glass packaging</t>
  </si>
  <si>
    <t>H - 52.21 Service activities incidental to land transportation</t>
  </si>
  <si>
    <t>NACE_H5221</t>
  </si>
  <si>
    <t xml:space="preserve">    15 01 09 - Non-Hazardous - Textile packaging</t>
  </si>
  <si>
    <t>H - 52.22 Service activities incidental to water transportation</t>
  </si>
  <si>
    <t>NACE_H5222</t>
  </si>
  <si>
    <t xml:space="preserve">    15 01 10 - Hazardous - Packaging containing residues of or contaminated by hazardous substances</t>
  </si>
  <si>
    <t>H - 52.23 Service activities incidental to air transportation</t>
  </si>
  <si>
    <t>NACE_H5223</t>
  </si>
  <si>
    <t xml:space="preserve">    15 01 11 - Hazardous - Metallic packaging containing a hazardous solid porous matrix (for example asbestos), including empty pressure containers</t>
  </si>
  <si>
    <t>H - 52.24 Cargo handling</t>
  </si>
  <si>
    <t>NACE_H5224</t>
  </si>
  <si>
    <t xml:space="preserve">  15 02 - Absorbents, filter materials, wiping cloths and protective clothing</t>
  </si>
  <si>
    <t>H - 52.25 Logistics service activities</t>
  </si>
  <si>
    <t>NACE_H5225</t>
  </si>
  <si>
    <t xml:space="preserve">    15 02 02 - Hazardous - Absorbents, filter materials (including oil filters not otherwise specified), wiping cloths, protective clothing contaminated by hazardous substances</t>
  </si>
  <si>
    <t>H - 52.26 Other support activities for transportation</t>
  </si>
  <si>
    <t>NACE_H5226</t>
  </si>
  <si>
    <t xml:space="preserve">    15 02 03 - Non-Hazardous - Absorbents, filter materials, wiping cloths and protective clothing other than those mentioned in 15 02 02</t>
  </si>
  <si>
    <t>H - 52.3 Intermediation service activities for transportation</t>
  </si>
  <si>
    <t>NACE_H523</t>
  </si>
  <si>
    <t>16 - WASTES NOT OTHERWISE SPECIFIED IN THE LIST</t>
  </si>
  <si>
    <t>H - 52.31 Intermediation service activities for freight transportation</t>
  </si>
  <si>
    <t>NACE_H5231</t>
  </si>
  <si>
    <t xml:space="preserve">  16 01 - End-of-life vehicles from different means of transport (including off-road machinery) and wastes from dismantling of end-of-life vehicles and vehicle maintenance (except 13, 14, 16 06 and 16 08)</t>
  </si>
  <si>
    <t>H - 52.32 Intermediation service activities for passenger transportation</t>
  </si>
  <si>
    <t>NACE_H5232</t>
  </si>
  <si>
    <t xml:space="preserve">    16 01 03 - Non-Hazardous - End-of-life tyres</t>
  </si>
  <si>
    <t>H - 53 Postal and courier activities</t>
  </si>
  <si>
    <t>NACE_H53</t>
  </si>
  <si>
    <t xml:space="preserve">    16 01 04 - Hazardous - End-of-life vehicles</t>
  </si>
  <si>
    <t>H - 53.1 Postal activities under universal service obligation</t>
  </si>
  <si>
    <t>NACE_H531</t>
  </si>
  <si>
    <t xml:space="preserve">    16 01 06 - Non-Hazardous - End-of-life vehicles, containing neither liquids nor other hazardous components</t>
  </si>
  <si>
    <t>H - 53.10 Postal activities under universal service obligation</t>
  </si>
  <si>
    <t>NACE_H5310</t>
  </si>
  <si>
    <t xml:space="preserve">    16 01 07 - Hazardous - Oil filters</t>
  </si>
  <si>
    <t>H - 53.2 Other postal and courier activities</t>
  </si>
  <si>
    <t>NACE_H532</t>
  </si>
  <si>
    <t xml:space="preserve">    16 01 08 - Hazardous - Components containing mercury</t>
  </si>
  <si>
    <t>H - 53.20 Other postal and courier activities</t>
  </si>
  <si>
    <t>NACE_H5320</t>
  </si>
  <si>
    <t xml:space="preserve">    16 01 09 - Hazardous - Components containing PCBs</t>
  </si>
  <si>
    <t>H - 53.3 Intermediation service activities for postal and courier activities</t>
  </si>
  <si>
    <t>NACE_H533</t>
  </si>
  <si>
    <t xml:space="preserve">    16 01 10 - Hazardous - Explosive components (for example air bags)</t>
  </si>
  <si>
    <t>H - 53.30 Intermediation service activities for postal and courier activities</t>
  </si>
  <si>
    <t>NACE_H5330</t>
  </si>
  <si>
    <t xml:space="preserve">    16 01 11 - Hazardous - Brake pads containing asbestos</t>
  </si>
  <si>
    <t>I - ACCOMMODATION AND FOOD SERVICE ACTIVITIES</t>
  </si>
  <si>
    <t>NACE_I</t>
  </si>
  <si>
    <t xml:space="preserve">    16 01 12 - Non-Hazardous - Brake pads other than those mentioned in 16 01 11</t>
  </si>
  <si>
    <t>I - 55 Accommodation</t>
  </si>
  <si>
    <t>NACE_I55</t>
  </si>
  <si>
    <t xml:space="preserve">    16 01 13 - Hazardous - Brake fluids</t>
  </si>
  <si>
    <t>I - 55.1 Hotels and similar accommodation</t>
  </si>
  <si>
    <t>NACE_I551</t>
  </si>
  <si>
    <t xml:space="preserve">    16 01 14 - Hazardous - Antifreeze fluids containing hazardous substances</t>
  </si>
  <si>
    <t>I - 55.10 Hotels and similar accommodation</t>
  </si>
  <si>
    <t>NACE_I5510</t>
  </si>
  <si>
    <t xml:space="preserve">    16 01 15 - Non-Hazardous - Antifreeze fluids other than those mentioned in 16 01 14</t>
  </si>
  <si>
    <t>I - 55.2 Holiday and other short-stay accommodation</t>
  </si>
  <si>
    <t>NACE_I552</t>
  </si>
  <si>
    <t xml:space="preserve">    16 01 16 - Non-Hazardous - Tanks for liquefied gas</t>
  </si>
  <si>
    <t>I - 55.20 Holiday and other short-stay accommodation</t>
  </si>
  <si>
    <t>NACE_I5520</t>
  </si>
  <si>
    <t xml:space="preserve">    16 01 17 - Non-Hazardous - Ferrous metal</t>
  </si>
  <si>
    <t>I - 55.3 Camping grounds and recreational vehicle parks</t>
  </si>
  <si>
    <t>NACE_I553</t>
  </si>
  <si>
    <t xml:space="preserve">    16 01 18 - Non-Hazardous - Non-ferrous metal</t>
  </si>
  <si>
    <t>I - 55.30 Camping grounds and recreational vehicle parks</t>
  </si>
  <si>
    <t>NACE_I5530</t>
  </si>
  <si>
    <t xml:space="preserve">    16 01 19 - Non-Hazardous - Plastic</t>
  </si>
  <si>
    <t>I - 55.4 Intermediation service activities for accommodation</t>
  </si>
  <si>
    <t>NACE_I554</t>
  </si>
  <si>
    <t xml:space="preserve">    16 01 20 - Non-Hazardous - Glass</t>
  </si>
  <si>
    <t>I - 55.40 Intermediation service activities for accommodation</t>
  </si>
  <si>
    <t>NACE_I5540</t>
  </si>
  <si>
    <t xml:space="preserve">    16 01 21 - Hazardous - Hazardous components other than those mentioned in 16 01 07 to 16 01 11 and 16 01 13 and 16 01 14</t>
  </si>
  <si>
    <t>I - 55.9 Other accommodation</t>
  </si>
  <si>
    <t>NACE_I559</t>
  </si>
  <si>
    <t xml:space="preserve">    16 01 22 - Non-Hazardous - Components not otherwise specified</t>
  </si>
  <si>
    <t>I - 55.90 Other accommodation</t>
  </si>
  <si>
    <t>NACE_I5590</t>
  </si>
  <si>
    <t xml:space="preserve">    16 01 99 - Non-Hazardous - Wastes not otherwise specified</t>
  </si>
  <si>
    <t>I - 56 Food and beverage service activities</t>
  </si>
  <si>
    <t>NACE_I56</t>
  </si>
  <si>
    <t xml:space="preserve">  16 02 - Wastes from electrical and electronic equipment</t>
  </si>
  <si>
    <t>I - 56.1 Restaurants and mobile food service activities</t>
  </si>
  <si>
    <t>NACE_I561</t>
  </si>
  <si>
    <t xml:space="preserve">    16 02 09 - Hazardous - Transformers and capacitors containing PCBs</t>
  </si>
  <si>
    <t>I - 56.11 Restaurant activities</t>
  </si>
  <si>
    <t>NACE_I5611</t>
  </si>
  <si>
    <t xml:space="preserve">    16 02 10 - Hazardous - Discarded equipment containing or contaminated by PCBs other than those mentioned in 16 02 09</t>
  </si>
  <si>
    <t>I - 56.12 Mobile food service activities</t>
  </si>
  <si>
    <t>NACE_I5612</t>
  </si>
  <si>
    <t xml:space="preserve">    16 02 11 - Hazardous - Discarded equipment containing chlorofluorocarbons, HCFC, HFC</t>
  </si>
  <si>
    <t>I - 56.2 Event catering, contract catering service activities and other food service activities</t>
  </si>
  <si>
    <t>NACE_I562</t>
  </si>
  <si>
    <t xml:space="preserve">    16 02 12 - Hazardous - Discarded equipment containing free asbestos</t>
  </si>
  <si>
    <t>I - 56.21 Event catering activities</t>
  </si>
  <si>
    <t>NACE_I5621</t>
  </si>
  <si>
    <t xml:space="preserve">    16 02 13 - Hazardous - Discarded equipment containing hazardous components (3) other than those mentioned in 16 02 09 to 16 02 12</t>
  </si>
  <si>
    <t>I - 56.22 Contract catering service activities and other food service activities</t>
  </si>
  <si>
    <t>NACE_I5622</t>
  </si>
  <si>
    <t>I - 56.3 Beverage serving activities</t>
  </si>
  <si>
    <t>NACE_I563</t>
  </si>
  <si>
    <t xml:space="preserve">    16 02 15 - Hazardous - Hazardous components removed from discarded equipment</t>
  </si>
  <si>
    <t>I - 56.30 Beverage serving activities</t>
  </si>
  <si>
    <t>NACE_I5630</t>
  </si>
  <si>
    <t xml:space="preserve">    16 02 16 - Non-Hazardous - Components removed from discarded equipment other than those mentioned in 16 02 15</t>
  </si>
  <si>
    <t>I - 56.4 Intermediation service activities for food and beverage services activities</t>
  </si>
  <si>
    <t>NACE_I564</t>
  </si>
  <si>
    <t xml:space="preserve">  16 03 - Off-specification batches and unused products</t>
  </si>
  <si>
    <t>I - 56.40 Intermediation service activities for food and beverage services activities</t>
  </si>
  <si>
    <t>NACE_I5640</t>
  </si>
  <si>
    <t xml:space="preserve">    16 03 03 - Hazardous - Inorganic wastes containing hazardous substances</t>
  </si>
  <si>
    <t>J - PUBLISHING, BROADCASTING, AND CONTENT PRODUCTION AND DISTRIBUTION ACTIVITIES</t>
  </si>
  <si>
    <t>NACE_J</t>
  </si>
  <si>
    <t xml:space="preserve">    16 03 04 - Non-Hazardous - Inorganic wastes other than those mentioned in 16 03 03</t>
  </si>
  <si>
    <t>J - 58 Publishing activities</t>
  </si>
  <si>
    <t>NACE_J58</t>
  </si>
  <si>
    <t xml:space="preserve">    16 03 05 - Hazardous - Organic wastes containing hazardous substances</t>
  </si>
  <si>
    <t>J - 58.1 Publishing of books, newspapers and other publishing activities, except software publishing</t>
  </si>
  <si>
    <t>NACE_J581</t>
  </si>
  <si>
    <t xml:space="preserve">    16 03 06 - Non-Hazardous - Organic wastes other than those mentioned in 16 03 05</t>
  </si>
  <si>
    <t>J - 58.11 Publishing of books</t>
  </si>
  <si>
    <t>NACE_J5811</t>
  </si>
  <si>
    <t xml:space="preserve">    16 03 07 - Hazardous - Metallic mercury</t>
  </si>
  <si>
    <t>J - 58.12 Publishing of newspapers</t>
  </si>
  <si>
    <t>NACE_J5812</t>
  </si>
  <si>
    <t xml:space="preserve">  16 04 - Waste explosives</t>
  </si>
  <si>
    <t>J - 58.13 Publishing of journals and periodicals</t>
  </si>
  <si>
    <t>NACE_J5813</t>
  </si>
  <si>
    <t xml:space="preserve">    16 04 01 - Hazardous - Waste ammunition</t>
  </si>
  <si>
    <t>J - 58.19 Other publishing activities, except software publishing</t>
  </si>
  <si>
    <t>NACE_J5819</t>
  </si>
  <si>
    <t xml:space="preserve">    16 04 02 - Hazardous - Fireworks wastes</t>
  </si>
  <si>
    <t>J - 58.2 Software publishing</t>
  </si>
  <si>
    <t>NACE_J582</t>
  </si>
  <si>
    <t xml:space="preserve">    16 04 03 - Hazardous - Other waste explosives</t>
  </si>
  <si>
    <t>J - 58.21 Publishing of video games</t>
  </si>
  <si>
    <t>NACE_J5821</t>
  </si>
  <si>
    <t xml:space="preserve">  16 05 - Gases in pressure containers and discarded chemicals</t>
  </si>
  <si>
    <t>J - 58.29 Other software publishing</t>
  </si>
  <si>
    <t>NACE_J5829</t>
  </si>
  <si>
    <t xml:space="preserve">    16 05 04 - Hazardous - Gases in pressure containers (including halons) containing hazardous substances</t>
  </si>
  <si>
    <t>J - 59 Motion picture, video and television programme production, sound recording and music publishing activities</t>
  </si>
  <si>
    <t>NACE_J59</t>
  </si>
  <si>
    <t xml:space="preserve">    16 05 05 - Non-Hazardous - Gases in pressure containers other than those mentioned in 16 05 04</t>
  </si>
  <si>
    <t>J - 59.1 Motion picture, video and television programme activities</t>
  </si>
  <si>
    <t>NACE_J591</t>
  </si>
  <si>
    <t xml:space="preserve">    16 05 06 - Hazardous - Laboratory chemicals, consisting of or containing hazardous substances, including mixtures of laboratory chemicals</t>
  </si>
  <si>
    <t>J - 59.11 Motion picture, video and television programme production activities</t>
  </si>
  <si>
    <t>NACE_J5911</t>
  </si>
  <si>
    <t xml:space="preserve">    16 05 07 - Hazardous - Discarded inorganic chemicals consisting of or containing hazardous substances</t>
  </si>
  <si>
    <t>J - 59.12 Motion picture, video and television programme post-production activities</t>
  </si>
  <si>
    <t>NACE_J5912</t>
  </si>
  <si>
    <t xml:space="preserve">    16 05 08 - Hazardous - Discarded organic chemicals consisting of or containing hazardous substances</t>
  </si>
  <si>
    <t>J - 59.13 Motion picture and video distribution activities</t>
  </si>
  <si>
    <t>NACE_J5913</t>
  </si>
  <si>
    <t xml:space="preserve">    16 05 09 - Non-Hazardous - Discarded chemicals other than those mentioned in 16 05 06, 16 05 07 or 16 05 08</t>
  </si>
  <si>
    <t>J - 59.14 Motion picture projection activities</t>
  </si>
  <si>
    <t>NACE_J5914</t>
  </si>
  <si>
    <t xml:space="preserve">  16 06 - Batteries and accumulators</t>
  </si>
  <si>
    <t>J - 59.2 Sound recording and music publishing activities</t>
  </si>
  <si>
    <t>NACE_J592</t>
  </si>
  <si>
    <t xml:space="preserve">    16 06 01 - Hazardous - Lead batteries</t>
  </si>
  <si>
    <t>J - 59.20 Sound recording and music publishing activities</t>
  </si>
  <si>
    <t>NACE_J5920</t>
  </si>
  <si>
    <t xml:space="preserve">    16 06 02 - Hazardous - Ni-Cd batteries</t>
  </si>
  <si>
    <t>J - 60 Programming, broadcasting, news agency and other content distribution activities</t>
  </si>
  <si>
    <t>NACE_J60</t>
  </si>
  <si>
    <t xml:space="preserve">    16 06 03 - Hazardous - Mercury-containing batteries</t>
  </si>
  <si>
    <t>J - 60.1 Radio broadcasting and audio distribution activities</t>
  </si>
  <si>
    <t>NACE_J601</t>
  </si>
  <si>
    <t xml:space="preserve">    16 06 04 - Non-Hazardous - Alkaline batteries (except 16 06 03)</t>
  </si>
  <si>
    <t>J - 60.10 Radio broadcasting and audio distribution activities</t>
  </si>
  <si>
    <t>NACE_J6010</t>
  </si>
  <si>
    <t xml:space="preserve">    16 06 05 - Non-Hazardous - Other batteries and accumulators</t>
  </si>
  <si>
    <t>J - 60.2 Television programming, broadcasting and video distribution activities</t>
  </si>
  <si>
    <t>NACE_J602</t>
  </si>
  <si>
    <t xml:space="preserve">    16 06 06 - Hazardous - Separately collected electrolyte from batteries and accumulators</t>
  </si>
  <si>
    <t>J - 60.20 Television programming, broadcasting and video distribution activities</t>
  </si>
  <si>
    <t>NACE_J6020</t>
  </si>
  <si>
    <t xml:space="preserve">  16 07 - Wastes from transport tank, storage tank and barrel cleaning (except 05 and 13)</t>
  </si>
  <si>
    <t>J - 60.3 News agency and other content distribution activities</t>
  </si>
  <si>
    <t>NACE_J603</t>
  </si>
  <si>
    <t xml:space="preserve">    16 07 08 - Hazardous - Wastes containing oil</t>
  </si>
  <si>
    <t>J - 60.31 News agency activities</t>
  </si>
  <si>
    <t>NACE_J6031</t>
  </si>
  <si>
    <t xml:space="preserve">    16 07 09 - Hazardous - Wastes containing other hazardous substances</t>
  </si>
  <si>
    <t>J - 60.39 Other content distribution activities</t>
  </si>
  <si>
    <t>NACE_J6039</t>
  </si>
  <si>
    <t xml:space="preserve">    16 07 99 - Non-Hazardous - Wastes not otherwise specified</t>
  </si>
  <si>
    <t>K - TELECOMMUNICATION, COMPUTER PROGRAMMING, CONSULTING, COMPUTING INFRASTRUCTURE AND OTHER INFORMATION SERVICE ACTIVITIES</t>
  </si>
  <si>
    <t>NACE_K</t>
  </si>
  <si>
    <t xml:space="preserve">  16 08 - Spent catalysts</t>
  </si>
  <si>
    <t>K - 61 Telecommunication</t>
  </si>
  <si>
    <t>NACE_K61</t>
  </si>
  <si>
    <t xml:space="preserve">    16 08 01 - Non-Hazardous - Spent catalysts containing gold, silver, rhenium, rhodium, palladium, iridium or platinum (except 16 08 07)</t>
  </si>
  <si>
    <t>K - 61.1 Wired, wireless, and satellite telecommunication activities</t>
  </si>
  <si>
    <t>NACE_K611</t>
  </si>
  <si>
    <t xml:space="preserve">    16 08 02 - Hazardous - Spent catalysts containing hazardous transition metals or hazardous transition metal compounds</t>
  </si>
  <si>
    <t>K - 61.10 Wired, wireless, and satellite telecommunication activities</t>
  </si>
  <si>
    <t>NACE_K6110</t>
  </si>
  <si>
    <t xml:space="preserve">    16 08 03 - Non-Hazardous - Spent catalysts containing transition metals or transition metal compounds not otherwise specified</t>
  </si>
  <si>
    <t>K - 61.2 Telecommunication reselling activities and intermediation service activities for telecommunication</t>
  </si>
  <si>
    <t>NACE_K612</t>
  </si>
  <si>
    <t xml:space="preserve">    16 08 04 - Non-Hazardous - Spent fluid catalytic cracking catalysts (except 16 08 07)</t>
  </si>
  <si>
    <t>K - 61.20 Telecommunication reselling activities and intermediation service activities for telecommunication</t>
  </si>
  <si>
    <t>NACE_K6120</t>
  </si>
  <si>
    <t xml:space="preserve">    16 08 05 - Hazardous - Spent catalysts containing phosphoric acid</t>
  </si>
  <si>
    <t>K - 61.9 Other telecommunication activities</t>
  </si>
  <si>
    <t>NACE_K619</t>
  </si>
  <si>
    <t xml:space="preserve">    16 08 06 - Hazardous - Spent liquids used as catalysts</t>
  </si>
  <si>
    <t>K - 61.90 Other telecommunication activities</t>
  </si>
  <si>
    <t>NACE_K6190</t>
  </si>
  <si>
    <t xml:space="preserve">    16 08 07 - Hazardous - Spent catalysts contaminated with hazardous substances</t>
  </si>
  <si>
    <t>K - 62 Computer programming, consultancy and related activities</t>
  </si>
  <si>
    <t>NACE_K62</t>
  </si>
  <si>
    <t xml:space="preserve">  16 09 - Oxidising substances</t>
  </si>
  <si>
    <t>K - 62.1 Computer programming activities</t>
  </si>
  <si>
    <t>NACE_K621</t>
  </si>
  <si>
    <t xml:space="preserve">    16 09 01 - Hazardous - Permanganates, for example potassium permanganate</t>
  </si>
  <si>
    <t>K - 62.10 Computer programming activities</t>
  </si>
  <si>
    <t>NACE_K6210</t>
  </si>
  <si>
    <t xml:space="preserve">    16 09 02 - Hazardous - Chromates, for example potassium chromate, potassium or sodium dichromate</t>
  </si>
  <si>
    <t>K - 62.2 Computer consultancy and computer facilities management activities</t>
  </si>
  <si>
    <t>NACE_K622</t>
  </si>
  <si>
    <t xml:space="preserve">    16 09 03 - Hazardous - Peroxides, for example hydrogen peroxide</t>
  </si>
  <si>
    <t>K - 62.20 Computer consultancy and computer facilities management activities</t>
  </si>
  <si>
    <t>NACE_K6220</t>
  </si>
  <si>
    <t xml:space="preserve">    16 09 04 - Hazardous - Oxidising substances, not otherwise specified</t>
  </si>
  <si>
    <t>K - 62.9 Other information technology and computer service activities</t>
  </si>
  <si>
    <t>NACE_K629</t>
  </si>
  <si>
    <t xml:space="preserve">  16 10 - Aqueous liquid wastes destined for off-site treatment</t>
  </si>
  <si>
    <t>K - 62.90 Other information technology and computer service activities</t>
  </si>
  <si>
    <t>NACE_K6290</t>
  </si>
  <si>
    <t xml:space="preserve">    16 10 01 - Hazardous - Aqueous liquid wastes containing hazardous substances</t>
  </si>
  <si>
    <t>K - 63 Computing infrastructure, data processing, hosting and other information service activities</t>
  </si>
  <si>
    <t>NACE_K63</t>
  </si>
  <si>
    <t xml:space="preserve">    16 10 02 - Non-Hazardous - Aqueous liquid wastes other than those mentioned in 16 10 01</t>
  </si>
  <si>
    <t>K - 63.1 Computing infrastructure, data processing, hosting and related activities</t>
  </si>
  <si>
    <t>NACE_K631</t>
  </si>
  <si>
    <t xml:space="preserve">    16 10 03 - Hazardous - Aqueous concentrates containing hazardous substances</t>
  </si>
  <si>
    <t>K - 63.10 Computing infrastructure, data processing, hosting and related activities</t>
  </si>
  <si>
    <t>NACE_K6310</t>
  </si>
  <si>
    <t xml:space="preserve">    16 10 04 - Non-Hazardous - Aqueous concentrates other than those mentioned in 16 10 03</t>
  </si>
  <si>
    <t>K - 63.9 Web search portal activities and other information service activities</t>
  </si>
  <si>
    <t>NACE_K639</t>
  </si>
  <si>
    <t xml:space="preserve">  16 11 - Waste linings and refractories</t>
  </si>
  <si>
    <t>K - 63.91 Web search portal activities</t>
  </si>
  <si>
    <t>NACE_K6391</t>
  </si>
  <si>
    <t xml:space="preserve">    16 11 01 - Hazardous - Carbon-based linings and refractories from metallurgical processes containing hazardous substances</t>
  </si>
  <si>
    <t>K - 63.92 Other information service activities</t>
  </si>
  <si>
    <t>NACE_K6392</t>
  </si>
  <si>
    <t xml:space="preserve">    16 11 02 - Non-Hazardous - Carbon-based linings and refractories from metallurgical processes others than those mentioned in 16 11 01</t>
  </si>
  <si>
    <t>L - FINANCIAL AND INSURANCE ACTIVITIES</t>
  </si>
  <si>
    <t>NACE_L</t>
  </si>
  <si>
    <t xml:space="preserve">    16 11 03 - Hazardous - Other linings and refractories from metallurgical processes containing hazardous substances</t>
  </si>
  <si>
    <t>L - 64 Financial service activities, except insurance and pension funding</t>
  </si>
  <si>
    <t>NACE_L64</t>
  </si>
  <si>
    <t xml:space="preserve">    16 11 04 - Non-Hazardous - Other linings and refractories from metallurgical processes other than those mentioned in 16 11 03</t>
  </si>
  <si>
    <t>L - 64.1 Monetary intermediation</t>
  </si>
  <si>
    <t>NACE_L641</t>
  </si>
  <si>
    <t xml:space="preserve">    16 11 05 - Hazardous - Linings and refractories from non-metallurgical processes containing hazardous substances</t>
  </si>
  <si>
    <t>L - 64.11 Central banking</t>
  </si>
  <si>
    <t>NACE_L6411</t>
  </si>
  <si>
    <t xml:space="preserve">    16 11 06 - Non-Hazardous - Linings and refractories from non-metallurgical processes others than those mentioned in 16 11 05</t>
  </si>
  <si>
    <t>L - 64.19 Other monetary intermediation</t>
  </si>
  <si>
    <t>NACE_L6419</t>
  </si>
  <si>
    <t>17 - CONSTRUCTION AND DEMOLITION WASTES (INCLUDING EXCAVATED SOIL FROM CONTAMINATED SITES)</t>
  </si>
  <si>
    <t>L - 64.2 Activities of holding companies and financing conduits</t>
  </si>
  <si>
    <t>NACE_L642</t>
  </si>
  <si>
    <t xml:space="preserve">  17 01 - Concrete, bricks, tiles and ceramics</t>
  </si>
  <si>
    <t>L - 64.21 Activities of holding companies</t>
  </si>
  <si>
    <t>NACE_L6421</t>
  </si>
  <si>
    <t xml:space="preserve">    17 01 01 - Non-Hazardous - Concrete</t>
  </si>
  <si>
    <t>L - 64.22 Activities of financing conduits</t>
  </si>
  <si>
    <t>NACE_L6422</t>
  </si>
  <si>
    <t xml:space="preserve">    17 01 02 - Non-Hazardous - Bricks</t>
  </si>
  <si>
    <t>L - 64.3 Activities of trusts, funds and similar financial entities</t>
  </si>
  <si>
    <t>NACE_L643</t>
  </si>
  <si>
    <t xml:space="preserve">    17 01 03 - Non-Hazardous - Tiles and ceramics</t>
  </si>
  <si>
    <t>L - 64.31 Activities of money market and non-money market investments funds</t>
  </si>
  <si>
    <t>NACE_L6431</t>
  </si>
  <si>
    <t xml:space="preserve">    17 01 06 - Hazardous - Mixtures of, or separate fractions of concrete, bricks, tiles and ceramics containing hazardous substances</t>
  </si>
  <si>
    <t>L - 64.32 Activities of trust, estate and agency accounts</t>
  </si>
  <si>
    <t>NACE_L6432</t>
  </si>
  <si>
    <t xml:space="preserve">    17 01 07 - Non-Hazardous - Mixtures of concrete, bricks, tiles and ceramics other than those mentioned in 17 01 06</t>
  </si>
  <si>
    <t>L - 64.9 Other financial service activities, except insurance and pension funding</t>
  </si>
  <si>
    <t>NACE_L649</t>
  </si>
  <si>
    <t xml:space="preserve">  17 02 - Wood, glass and plastic</t>
  </si>
  <si>
    <t>L - 64.91 Financial leasing</t>
  </si>
  <si>
    <t>NACE_L6491</t>
  </si>
  <si>
    <t xml:space="preserve">    17 02 01 - Non-Hazardous - Wood</t>
  </si>
  <si>
    <t>L - 64.92 Other credit granting</t>
  </si>
  <si>
    <t>NACE_L6492</t>
  </si>
  <si>
    <t xml:space="preserve">    17 02 02 - Non-Hazardous - Glass</t>
  </si>
  <si>
    <t>L - 64.99 Other financial service activities, except insurance and pension funding n.e.c.</t>
  </si>
  <si>
    <t>NACE_L6499</t>
  </si>
  <si>
    <t xml:space="preserve">    17 02 03 - Non-Hazardous - Plastic</t>
  </si>
  <si>
    <t>L - 65 Insurance, reinsurance and pension funding, except compulsory social security</t>
  </si>
  <si>
    <t>NACE_L65</t>
  </si>
  <si>
    <t xml:space="preserve">    17 02 04 - Hazardous - Glass, plastic and wood containing or contaminated with hazardous substances</t>
  </si>
  <si>
    <t>L - 65.1 Insurance</t>
  </si>
  <si>
    <t>NACE_L651</t>
  </si>
  <si>
    <t xml:space="preserve">  17 03 - Bituminous mixtures, coal tar and tarred products</t>
  </si>
  <si>
    <t>L - 65.11 Life insurance</t>
  </si>
  <si>
    <t>NACE_L6511</t>
  </si>
  <si>
    <t xml:space="preserve">    17 03 01 - Hazardous - Bituminous mixtures containing coal tar</t>
  </si>
  <si>
    <t>L - 65.12 Non-life insurance</t>
  </si>
  <si>
    <t>NACE_L6512</t>
  </si>
  <si>
    <t xml:space="preserve">    17 03 02 - Non-Hazardous - Bituminous mixtures other than those mentioned in 17 03 01</t>
  </si>
  <si>
    <t>L - 65.2 Reinsurance</t>
  </si>
  <si>
    <t>NACE_L652</t>
  </si>
  <si>
    <t xml:space="preserve">    17 03 03 - Hazardous - Coal tar and tarred products</t>
  </si>
  <si>
    <t>L - 65.20 Reinsurance</t>
  </si>
  <si>
    <t>NACE_L6520</t>
  </si>
  <si>
    <t xml:space="preserve">  17 04 - Metals (including their alloys)</t>
  </si>
  <si>
    <t>L - 65.3 Pension funding</t>
  </si>
  <si>
    <t>NACE_L653</t>
  </si>
  <si>
    <t xml:space="preserve">    17 04 01 - Non-Hazardous - Copper, bronze, brass</t>
  </si>
  <si>
    <t>L - 65.30 Pension funding</t>
  </si>
  <si>
    <t>NACE_L6530</t>
  </si>
  <si>
    <t xml:space="preserve">    17 04 02 - Non-Hazardous - Aluminium</t>
  </si>
  <si>
    <t>L - 66 Activities auxiliary to financial services and insurance activities</t>
  </si>
  <si>
    <t>NACE_L66</t>
  </si>
  <si>
    <t xml:space="preserve">    17 04 03 - Non-Hazardous - Lead</t>
  </si>
  <si>
    <t>L - 66.1 Activities auxiliary to financial services, except insurance and pension funding</t>
  </si>
  <si>
    <t>NACE_L661</t>
  </si>
  <si>
    <t xml:space="preserve">    17 04 04 - Non-Hazardous - Zinc</t>
  </si>
  <si>
    <t>L - 66.11 Administration of financial markets</t>
  </si>
  <si>
    <t>NACE_L6611</t>
  </si>
  <si>
    <t xml:space="preserve">    17 04 05 - Non-Hazardous - Iron and steel</t>
  </si>
  <si>
    <t>L - 66.12 Security and commodity contracts brokerage</t>
  </si>
  <si>
    <t>NACE_L6612</t>
  </si>
  <si>
    <t xml:space="preserve">    17 04 06 - Non-Hazardous - Tin</t>
  </si>
  <si>
    <t>L - 66.19 Other activities auxiliary to financial services, except insurance and pension funding</t>
  </si>
  <si>
    <t>NACE_L6619</t>
  </si>
  <si>
    <t>L - 66.2 Activities auxiliary to insurance and pension funding</t>
  </si>
  <si>
    <t>NACE_L662</t>
  </si>
  <si>
    <t xml:space="preserve">    17 04 09 - Hazardous - Metal waste contaminated with hazardous substances</t>
  </si>
  <si>
    <t>L - 66.21 Risk and damage evaluation</t>
  </si>
  <si>
    <t>NACE_L6621</t>
  </si>
  <si>
    <t xml:space="preserve">    17 04 10 - Hazardous - Cables containing oil, coal tar and other hazardous substances</t>
  </si>
  <si>
    <t>L - 66.22 Activities of insurance agents and brokers</t>
  </si>
  <si>
    <t>NACE_L6622</t>
  </si>
  <si>
    <t xml:space="preserve">    17 04 11 - Non-Hazardous - Cables other than those mentioned in 17 04 10</t>
  </si>
  <si>
    <t>L - 66.29 Activities auxiliary to insurance and pension funding n.e.c.</t>
  </si>
  <si>
    <t>NACE_L6629</t>
  </si>
  <si>
    <t xml:space="preserve">  17 05 - Soil (including excavated soil from contaminated sites), stones and dredging spoil</t>
  </si>
  <si>
    <t>L - 66.3 Fund management activities</t>
  </si>
  <si>
    <t>NACE_L663</t>
  </si>
  <si>
    <t xml:space="preserve">    17 05 03 - Hazardous - Soil and stones containing hazardous substances</t>
  </si>
  <si>
    <t>L - 66.30 Fund management activities</t>
  </si>
  <si>
    <t>NACE_L6630</t>
  </si>
  <si>
    <t xml:space="preserve">    17 05 04 - Non-Hazardous - Soil and stones other than those mentioned in 17 05 03</t>
  </si>
  <si>
    <t>M - REAL ESTATE ACTIVITIES</t>
  </si>
  <si>
    <t>NACE_M</t>
  </si>
  <si>
    <t xml:space="preserve">    17 05 05 - Hazardous - Dredging spoil containing hazardous substances</t>
  </si>
  <si>
    <t>M - 68 Real estate activities</t>
  </si>
  <si>
    <t>NACE_M68</t>
  </si>
  <si>
    <t xml:space="preserve">    17 05 06 - Non-Hazardous - Dredging spoil other than those mentioned in 17 05 05</t>
  </si>
  <si>
    <t>M - 68.1 Real estate activities with own property and development of building projects</t>
  </si>
  <si>
    <t>NACE_M681</t>
  </si>
  <si>
    <t xml:space="preserve">    17 05 07 - Hazardous - Track ballast containing hazardous substances</t>
  </si>
  <si>
    <t>M - 68.11 Buying and selling of own real estate</t>
  </si>
  <si>
    <t>NACE_M6811</t>
  </si>
  <si>
    <t xml:space="preserve">    17 05 08 - Non-Hazardous - Track ballast other than those mentioned in 17 05 07</t>
  </si>
  <si>
    <t>M - 68.12 Development of building projects</t>
  </si>
  <si>
    <t>NACE_M6812</t>
  </si>
  <si>
    <t xml:space="preserve">  17 06 - Insulation materials and asbestos-containing construction materials</t>
  </si>
  <si>
    <t>M - 68.2 Rental and operating of own or leased real estate</t>
  </si>
  <si>
    <t>NACE_M682</t>
  </si>
  <si>
    <t xml:space="preserve">    17 06 01 - Hazardous - Insulation materials containing asbestos</t>
  </si>
  <si>
    <t>M - 68.20 Rental and operating of own or leased real estate</t>
  </si>
  <si>
    <t>NACE_M6820</t>
  </si>
  <si>
    <t xml:space="preserve">    17 06 03 - Hazardous - Other insulation materials consisting of or containing hazardous substances</t>
  </si>
  <si>
    <t>M - 68.3 Real estate activities on a fee or contract basis</t>
  </si>
  <si>
    <t>NACE_M683</t>
  </si>
  <si>
    <t xml:space="preserve">    17 06 04 - Non-Hazardous - Insulation materials other than those mentioned in 17 06 01 and 17 06 03</t>
  </si>
  <si>
    <t>M - 68.31 Intermediation service activities for real estate activities</t>
  </si>
  <si>
    <t>NACE_M6831</t>
  </si>
  <si>
    <t xml:space="preserve">    17 06 05 - Hazardous - Construction materials containing asbestos</t>
  </si>
  <si>
    <t>M - 68.32 Other real estate activities on a fee or contract basis</t>
  </si>
  <si>
    <t>NACE_M6832</t>
  </si>
  <si>
    <t xml:space="preserve">  17 08 - Gypsum-based construction material</t>
  </si>
  <si>
    <t>N - PROFESSIONAL, SCIENTIFIC AND TECHNICAL ACTIVITIES</t>
  </si>
  <si>
    <t>NACE_N</t>
  </si>
  <si>
    <t xml:space="preserve">    17 08 01 - Hazardous - Gypsum-based construction materials contaminated with hazardous substances</t>
  </si>
  <si>
    <t>N - 69 Legal and accounting activities</t>
  </si>
  <si>
    <t>NACE_N69</t>
  </si>
  <si>
    <t xml:space="preserve">    17 08 02 - Non-Hazardous - Gypsum-based construction materials other than those mentioned in 17 08 01</t>
  </si>
  <si>
    <t>N - 69.1 Legal activities</t>
  </si>
  <si>
    <t>NACE_N691</t>
  </si>
  <si>
    <t xml:space="preserve">  17 09 - Other construction and demolition wastes</t>
  </si>
  <si>
    <t>N - 69.10 Legal activities</t>
  </si>
  <si>
    <t>NACE_N6910</t>
  </si>
  <si>
    <t xml:space="preserve">    17 09 01 - Hazardous - Construction and demolition wastes containing mercury</t>
  </si>
  <si>
    <t>N - 69.2 Accounting, bookkeeping and auditing activities; tax consultancy</t>
  </si>
  <si>
    <t>NACE_N692</t>
  </si>
  <si>
    <t xml:space="preserve">    17 09 02 - Hazardous - Construction and demolition wastes containing PCB (for example PCB-containing sealants, PCB-containing resin-based floorings, PCB-containing sealed glazing units, PCB-containing capacitors)</t>
  </si>
  <si>
    <t>N - 69.20 Accounting, bookkeeping and auditing activities; tax consultancy</t>
  </si>
  <si>
    <t>NACE_N6920</t>
  </si>
  <si>
    <t xml:space="preserve">    17 09 03 - Hazardous - Other construction and demolition wastes (including mixed wastes) containing hazardous substances</t>
  </si>
  <si>
    <t>N - 70 Activities of head offices and management consultancy</t>
  </si>
  <si>
    <t>NACE_N70</t>
  </si>
  <si>
    <t xml:space="preserve">    17 09 04 - Non-Hazardous - Mixed construction and demolition wastes other than those mentioned in 17 09 01, 17 09 02 and 17 09 03</t>
  </si>
  <si>
    <t>N - 70.1 Activities of head offices</t>
  </si>
  <si>
    <t>NACE_N701</t>
  </si>
  <si>
    <t>18 - WASTES FROM HUMAN OR ANIMAL HEALTH CARE AND/OR RELATED RESEARCH (except kitchen and restaurant wastes not arising from immediate health care)</t>
  </si>
  <si>
    <t>N - 70.10 Activities of head offices</t>
  </si>
  <si>
    <t>NACE_N7010</t>
  </si>
  <si>
    <t xml:space="preserve">  18 01 - Wastes from natal care, diagnosis, treatment or prevention of disease in humans</t>
  </si>
  <si>
    <t>N - 70.2 Business and other management consultancy activities</t>
  </si>
  <si>
    <t>NACE_N702</t>
  </si>
  <si>
    <t xml:space="preserve">    18 01 01 - Non-Hazardous - Sharps (except 18 01 03)</t>
  </si>
  <si>
    <t>N - 70.20 Business and other management consultancy activities</t>
  </si>
  <si>
    <t>NACE_N7020</t>
  </si>
  <si>
    <t xml:space="preserve">    18 01 02 - Non-Hazardous - Body parts and organs including blood bags and blood preserves (except 18 01 03)</t>
  </si>
  <si>
    <t>N - 71 Architectural and engineering activities; technical testing and analysis</t>
  </si>
  <si>
    <t>NACE_N71</t>
  </si>
  <si>
    <t xml:space="preserve">    18 01 03 - Hazardous - Wastes whose collection and disposal is subject to special requirements in order to prevent infection</t>
  </si>
  <si>
    <t>N - 71.1 Architectural and engineering activities and related technical consultancy</t>
  </si>
  <si>
    <t>NACE_N711</t>
  </si>
  <si>
    <t xml:space="preserve">    18 01 04 - Non-Hazardous - Wastes whose collection and disposal is not subject to special requirements in order to prevent infection (for example dressings, plaster casts, linen, disposable clothing, diapers)</t>
  </si>
  <si>
    <t>N - 71.11 Architectural activities</t>
  </si>
  <si>
    <t>NACE_N7111</t>
  </si>
  <si>
    <t xml:space="preserve">    18 01 06 - Hazardous - Chemicals consisting of or containing hazardous substances</t>
  </si>
  <si>
    <t>N - 71.12 Engineering activities and related technical consultancy</t>
  </si>
  <si>
    <t>NACE_N7112</t>
  </si>
  <si>
    <t xml:space="preserve">    18 01 07 - Non-Hazardous - Chemicals other than those mentioned in 18 01 06</t>
  </si>
  <si>
    <t>N - 71.2 Technical testing and analysis</t>
  </si>
  <si>
    <t>NACE_N712</t>
  </si>
  <si>
    <t xml:space="preserve">    18 01 08 - Hazardous - Cytotoxic and cytostatic medicines</t>
  </si>
  <si>
    <t>N - 71.20 Technical testing and analysis</t>
  </si>
  <si>
    <t>NACE_N7120</t>
  </si>
  <si>
    <t xml:space="preserve">    18 01 09 - Non-Hazardous - Medicines other than those mentioned in 18 01 08</t>
  </si>
  <si>
    <t>N - 72 Scientific research and development</t>
  </si>
  <si>
    <t>NACE_N72</t>
  </si>
  <si>
    <t xml:space="preserve">    18 01 10 - Hazardous - Amalgam waste from dental care</t>
  </si>
  <si>
    <t>N - 72.1 Research and experimental development on natural sciences and engineering</t>
  </si>
  <si>
    <t>NACE_N721</t>
  </si>
  <si>
    <t xml:space="preserve">  18 02 - Wastes from research, diagnosis, treatment or prevention of disease involving animals</t>
  </si>
  <si>
    <t>N - 72.10 Research and experimental development on natural sciences and engineering</t>
  </si>
  <si>
    <t>NACE_N7210</t>
  </si>
  <si>
    <t xml:space="preserve">    18 02 01 - Non-Hazardous - Sharps (except 18 02 02)</t>
  </si>
  <si>
    <t>N - 72.2 Research and experimental development on social sciences and humanities</t>
  </si>
  <si>
    <t>NACE_N722</t>
  </si>
  <si>
    <t xml:space="preserve">    18 02 02 - Hazardous - Wastes whose collection and disposal is subject to special requirements in order to prevent infection</t>
  </si>
  <si>
    <t>N - 72.20 Research and experimental development on social sciences and humanities</t>
  </si>
  <si>
    <t>NACE_N7220</t>
  </si>
  <si>
    <t xml:space="preserve">    18 02 03 - Non-Hazardous - Wastes whose collection and disposal is not subject to special requirements in order to prevent infection</t>
  </si>
  <si>
    <t>N - 73 Activities of advertising, market research and public relations</t>
  </si>
  <si>
    <t>NACE_N73</t>
  </si>
  <si>
    <t xml:space="preserve">    18 02 05 - Hazardous - Chemicals consisting of or containing hazardous substances</t>
  </si>
  <si>
    <t>N - 73.1 Advertising</t>
  </si>
  <si>
    <t>NACE_N731</t>
  </si>
  <si>
    <t xml:space="preserve">    18 02 06 - Non-Hazardous - Chemicals other than those mentioned in 18 02 05</t>
  </si>
  <si>
    <t>N - 73.11 Activities of advertising agencies</t>
  </si>
  <si>
    <t>NACE_N7311</t>
  </si>
  <si>
    <t xml:space="preserve">    18 02 07 - Hazardous - Cytotoxic and cytostatic medicines</t>
  </si>
  <si>
    <t>N - 73.12 Media representation</t>
  </si>
  <si>
    <t>NACE_N7312</t>
  </si>
  <si>
    <t xml:space="preserve">    18 02 08 - Non-Hazardous - Medicines other than those mentioned in 18 02 07</t>
  </si>
  <si>
    <t>N - 73.2 Market research and public opinion polling</t>
  </si>
  <si>
    <t>NACE_N732</t>
  </si>
  <si>
    <t>19 - WASTES FROM WASTE MANAGEMENT FACILITIES, OFF-SITE WASTE WATER TREATMENT PLANTS AND THE PREPARATION OF WATER INTENDED FOR HUMAN CONSUMPTION AND WATER FOR INDUSTRIAL USE</t>
  </si>
  <si>
    <t>N - 73.20 Market research and public opinion polling</t>
  </si>
  <si>
    <t>NACE_N7320</t>
  </si>
  <si>
    <t xml:space="preserve">  19 01 - Wastes from incineration or pyrolysis of waste</t>
  </si>
  <si>
    <t>N - 73.3 Public relations and communication activities</t>
  </si>
  <si>
    <t>NACE_N733</t>
  </si>
  <si>
    <t xml:space="preserve">    19 01 02 - Non-Hazardous - Ferrous materials removed from bottom ash</t>
  </si>
  <si>
    <t>N - 73.30 Public relations and communication activities</t>
  </si>
  <si>
    <t>NACE_N7330</t>
  </si>
  <si>
    <t xml:space="preserve">    19 01 05 - Hazardous - Filter cake from gas treatment</t>
  </si>
  <si>
    <t>N - 74 Other professional, scientific and technical activities</t>
  </si>
  <si>
    <t>NACE_N74</t>
  </si>
  <si>
    <t xml:space="preserve">    19 01 06 - Hazardous - Aqueous liquid wastes from gas treatment and other aqueous liquid wastes</t>
  </si>
  <si>
    <t>N - 74.1 Specialised design activities</t>
  </si>
  <si>
    <t>NACE_N741</t>
  </si>
  <si>
    <t xml:space="preserve">    19 01 07 - Hazardous - Solid wastes from gas treatment</t>
  </si>
  <si>
    <t>N - 74.11 Industrial product and fashion design activities</t>
  </si>
  <si>
    <t>NACE_N7411</t>
  </si>
  <si>
    <t xml:space="preserve">    19 01 10 - Hazardous - Spent activated carbon from flue-gas treatment</t>
  </si>
  <si>
    <t>N - 74.12 Graphic design and visual communication activities</t>
  </si>
  <si>
    <t>NACE_N7412</t>
  </si>
  <si>
    <t xml:space="preserve">    19 01 11 - Hazardous - Bottom ash and slag containing hazardous substances</t>
  </si>
  <si>
    <t>N - 74.13 Interior design activities</t>
  </si>
  <si>
    <t>NACE_N7413</t>
  </si>
  <si>
    <t xml:space="preserve">    19 01 12 - Non-Hazardous - Bottom ash and slag other than those mentioned in 19 01 11</t>
  </si>
  <si>
    <t>N - 74.14 Other specialised design activities</t>
  </si>
  <si>
    <t>NACE_N7414</t>
  </si>
  <si>
    <t xml:space="preserve">    19 01 13 - Hazardous - Fly ash containing hazardous substances</t>
  </si>
  <si>
    <t>N - 74.2 Photographic activities</t>
  </si>
  <si>
    <t>NACE_N742</t>
  </si>
  <si>
    <t xml:space="preserve">    19 01 14 - Non-Hazardous - Fly ash other than those mentioned in 19 01 13</t>
  </si>
  <si>
    <t>N - 74.20 Photographic activities</t>
  </si>
  <si>
    <t>NACE_N7420</t>
  </si>
  <si>
    <t xml:space="preserve">    19 01 15 - Hazardous - Boiler dust containing hazardous substances</t>
  </si>
  <si>
    <t>N - 74.3 Translation and interpretation activities</t>
  </si>
  <si>
    <t>NACE_N743</t>
  </si>
  <si>
    <t xml:space="preserve">    19 01 16 - Non-Hazardous - Boiler dust other than those mentioned in 19 01 15</t>
  </si>
  <si>
    <t>N - 74.30 Translation and interpretation activities</t>
  </si>
  <si>
    <t>NACE_N7430</t>
  </si>
  <si>
    <t xml:space="preserve">    19 01 17 - Hazardous - Pyrolysis wastes containing hazardous substances</t>
  </si>
  <si>
    <t>N - 74.9 Other professional, scientific and technical activities n.e.c.</t>
  </si>
  <si>
    <t>NACE_N749</t>
  </si>
  <si>
    <t xml:space="preserve">    19 01 18 - Non-Hazardous - Pyrolysis wastes other than those mentioned in 19 01 17</t>
  </si>
  <si>
    <t>N - 74.91 Patent brokering and marketing service activities</t>
  </si>
  <si>
    <t>NACE_N7491</t>
  </si>
  <si>
    <t xml:space="preserve">    19 01 19 - Non-Hazardous - Sands from fluidised beds</t>
  </si>
  <si>
    <t>N - 74.99 All other professional, scientific and technical activities n.e.c.</t>
  </si>
  <si>
    <t>NACE_N7499</t>
  </si>
  <si>
    <t xml:space="preserve">    19 01 99 - Non-Hazardous - Wastes not otherwise specified</t>
  </si>
  <si>
    <t>N - 75 Veterinary activities</t>
  </si>
  <si>
    <t>NACE_N75</t>
  </si>
  <si>
    <t xml:space="preserve">  19 02 - Wastes from physico/chemical treatments of waste (including dechromatation, decyanidation, neutralisation)</t>
  </si>
  <si>
    <t>N - 75.0 Veterinary activities</t>
  </si>
  <si>
    <t>NACE_N750</t>
  </si>
  <si>
    <t xml:space="preserve">    19 02 03 - Non-Hazardous - Premixed wastes composed only of non-hazardous wastes</t>
  </si>
  <si>
    <t>N - 75.00 Veterinary activities</t>
  </si>
  <si>
    <t>NACE_N7500</t>
  </si>
  <si>
    <t xml:space="preserve">    19 02 04 - Hazardous - Premixed wastes composed of at least one hazardous waste</t>
  </si>
  <si>
    <t>O - ADMINISTRATIVE AND SUPPORT SERVICE ACTIVITIES</t>
  </si>
  <si>
    <t>NACE_O</t>
  </si>
  <si>
    <t xml:space="preserve">    19 02 05 - Hazardous - Sludges from physico/chemical treatment containing hazardous substances</t>
  </si>
  <si>
    <t>O - 77 Rental and leasing activities</t>
  </si>
  <si>
    <t>NACE_O77</t>
  </si>
  <si>
    <t xml:space="preserve">    19 02 06 - Non-Hazardous - Sludges from physico/chemical treatment other than those mentioned in 19 02 05</t>
  </si>
  <si>
    <t>O - 77.1 Rental and leasing of motor vehicles</t>
  </si>
  <si>
    <t>NACE_O771</t>
  </si>
  <si>
    <t xml:space="preserve">    19 02 07 - Hazardous - Oil and concentrates from separation</t>
  </si>
  <si>
    <t>O - 77.11 Rental and leasing of cars and light motor vehicles</t>
  </si>
  <si>
    <t>NACE_O7711</t>
  </si>
  <si>
    <t xml:space="preserve">    19 02 08 - Hazardous - Liquid combustible wastes containing hazardous substances</t>
  </si>
  <si>
    <t>O - 77.12 Rental and leasing of trucks</t>
  </si>
  <si>
    <t>NACE_O7712</t>
  </si>
  <si>
    <t xml:space="preserve">    19 02 09 - Hazardous - Solid combustible wastes containing hazardous substances</t>
  </si>
  <si>
    <t>O - 77.2 Rental and leasing of personal and household goods</t>
  </si>
  <si>
    <t>NACE_O772</t>
  </si>
  <si>
    <t xml:space="preserve">    19 02 10 - Non-Hazardous - Combustible wastes other than those mentioned in 19 02 08 and 19 02 09</t>
  </si>
  <si>
    <t>O - 77.21 Rental and leasing of recreational and sports goods</t>
  </si>
  <si>
    <t>NACE_O7721</t>
  </si>
  <si>
    <t xml:space="preserve">    19 02 11 - Hazardous - Other wastes containing hazardous substances</t>
  </si>
  <si>
    <t>O - 77.22 Rental and leasing of other personal and household goods</t>
  </si>
  <si>
    <t>NACE_O7722</t>
  </si>
  <si>
    <t xml:space="preserve">    19 02 99 - Non-Hazardous - Wastes not otherwise specified</t>
  </si>
  <si>
    <t>O - 77.3 Rental and leasing of other machinery, equipment and tangible goods</t>
  </si>
  <si>
    <t>NACE_O773</t>
  </si>
  <si>
    <t xml:space="preserve">  19 03 - Stabilised/solidified wastes</t>
  </si>
  <si>
    <t>O - 77.31 Rental and leasing of agricultural machinery and equipment</t>
  </si>
  <si>
    <t>NACE_O7731</t>
  </si>
  <si>
    <t xml:space="preserve">    19 03 04 - Hazardous - Wastes marked as hazardous, partly stabilised other than 19 03 08</t>
  </si>
  <si>
    <t>O - 77.32 Rental and leasing of construction and civil engineering machinery and equipment</t>
  </si>
  <si>
    <t>NACE_O7732</t>
  </si>
  <si>
    <t xml:space="preserve">    19 03 05 - Non-Hazardous - Stabilised wastes other than those mentioned in 19 03 04</t>
  </si>
  <si>
    <t>O - 77.33 Rental and leasing of office machinery, equipment and computers</t>
  </si>
  <si>
    <t>NACE_O7733</t>
  </si>
  <si>
    <t xml:space="preserve">    19 03 06 - Hazardous - Wastes marked as hazardous, solidified</t>
  </si>
  <si>
    <t>O - 77.34 Rental and leasing of water transport equipment</t>
  </si>
  <si>
    <t>NACE_O7734</t>
  </si>
  <si>
    <t xml:space="preserve">    19 03 07 - Non-Hazardous - Solidified wastes other than those mentioned in 19 03 06</t>
  </si>
  <si>
    <t>O - 77.35 Rental and leasing of air transport equipment</t>
  </si>
  <si>
    <t>NACE_O7735</t>
  </si>
  <si>
    <t xml:space="preserve">    19 03 08 - Hazardous - Partly stabilised mercury</t>
  </si>
  <si>
    <t>O - 77.39 Rental and leasing of other machinery, equipment and tangible goods n.e.c.</t>
  </si>
  <si>
    <t>NACE_O7739</t>
  </si>
  <si>
    <t xml:space="preserve">  19 04 - Vitrified waste and wastes from vitrification</t>
  </si>
  <si>
    <t>O - 77.4 Leasing of intellectual property and similar products, except copyrighted works</t>
  </si>
  <si>
    <t>NACE_O774</t>
  </si>
  <si>
    <t xml:space="preserve">    19 04 01 - Non-Hazardous - Vitrified waste</t>
  </si>
  <si>
    <t>O - 77.40 Leasing of intellectual property and similar products, except copyrighted works</t>
  </si>
  <si>
    <t>NACE_O7740</t>
  </si>
  <si>
    <t xml:space="preserve">    19 04 02 - Hazardous - Fly ash and other flue-gas treatment wastes</t>
  </si>
  <si>
    <t>O - 77.5 Intermediation service activities for rental and leasing of tangible goods and non-financial intangible assets</t>
  </si>
  <si>
    <t>NACE_O775</t>
  </si>
  <si>
    <t xml:space="preserve">    19 04 03 - Hazardous - Non-vitrified solid phase</t>
  </si>
  <si>
    <t>O - 77.51 Intermediation service activities for rental and leasing of cars, motorhomes and trailers</t>
  </si>
  <si>
    <t>NACE_O7751</t>
  </si>
  <si>
    <t xml:space="preserve">    19 04 04 - Non-Hazardous - Aqueous liquid wastes from vitrified waste tempering</t>
  </si>
  <si>
    <t>O - 77.52 Intermediation service activities for rental and leasing of other tangible goods and non-financial intangible assets</t>
  </si>
  <si>
    <t>NACE_O7752</t>
  </si>
  <si>
    <t xml:space="preserve">  19 05 - Wastes from aerobic treatment of solid wastes</t>
  </si>
  <si>
    <t>O - 78 Employment activities</t>
  </si>
  <si>
    <t>NACE_O78</t>
  </si>
  <si>
    <t xml:space="preserve">    19 05 01 - Non-Hazardous - Non-composted fraction of municipal and similar wastes</t>
  </si>
  <si>
    <t>O - 78.1 Activities of employment placement agencies</t>
  </si>
  <si>
    <t>NACE_O781</t>
  </si>
  <si>
    <t xml:space="preserve">    19 05 02 - Non-Hazardous - Non-composted fraction of animal and vegetable waste</t>
  </si>
  <si>
    <t>O - 78.10 Activities of employment placement agencies</t>
  </si>
  <si>
    <t>NACE_O7810</t>
  </si>
  <si>
    <t xml:space="preserve">    19 05 03 - Non-Hazardous - Off-specification compost</t>
  </si>
  <si>
    <t>O - 78.2 Temporary employment agency activities and other human resource provisions</t>
  </si>
  <si>
    <t>NACE_O782</t>
  </si>
  <si>
    <t xml:space="preserve">    19 05 99 - Non-Hazardous - Wastes not otherwise specified</t>
  </si>
  <si>
    <t>O - 78.20 Temporary employment agency activities and other human resource provisions</t>
  </si>
  <si>
    <t>NACE_O7820</t>
  </si>
  <si>
    <t xml:space="preserve">  19 06 - Wastes from anaerobic treatment of waste</t>
  </si>
  <si>
    <t>O - 79 Travel agency, tour operator and other reservation service and related activities</t>
  </si>
  <si>
    <t>NACE_O79</t>
  </si>
  <si>
    <t xml:space="preserve">    19 06 03 - Non-Hazardous - Liquor from anaerobic treatment of municipal waste</t>
  </si>
  <si>
    <t>O - 79.1 Travel agency and tour operator activities</t>
  </si>
  <si>
    <t>NACE_O791</t>
  </si>
  <si>
    <t xml:space="preserve">    19 06 04 - Non-Hazardous - Digestate from anaerobic treatment of municipal waste</t>
  </si>
  <si>
    <t>O - 79.11 Travel agency activities</t>
  </si>
  <si>
    <t>NACE_O7911</t>
  </si>
  <si>
    <t xml:space="preserve">    19 06 05 - Non-Hazardous - Liquor from anaerobic treatment of animal and vegetable waste</t>
  </si>
  <si>
    <t>O - 79.12 Tour operator activities</t>
  </si>
  <si>
    <t>NACE_O7912</t>
  </si>
  <si>
    <t xml:space="preserve">    19 06 06 - Non-Hazardous - Digestate from anaerobic treatment of animal and vegetable waste</t>
  </si>
  <si>
    <t>O - 79.9 Other reservation service and related activities</t>
  </si>
  <si>
    <t>NACE_O799</t>
  </si>
  <si>
    <t xml:space="preserve">    19 06 99 - Non-Hazardous - Wastes not otherwise specified</t>
  </si>
  <si>
    <t>O - 79.90 Other reservation service and related activities</t>
  </si>
  <si>
    <t>NACE_O7990</t>
  </si>
  <si>
    <t xml:space="preserve">  19 07 - Landfill leachate</t>
  </si>
  <si>
    <t>O - 80 Investigation and security activities</t>
  </si>
  <si>
    <t>NACE_O80</t>
  </si>
  <si>
    <t xml:space="preserve">    19 07 02 - Hazardous - Landfill leachate containing hazardous substances</t>
  </si>
  <si>
    <t>O - 80.0 Investigation and security activities</t>
  </si>
  <si>
    <t>NACE_O800</t>
  </si>
  <si>
    <t xml:space="preserve">    19 07 03 - Non-Hazardous - Landfill leachate other than those mentioned in 19 07 02</t>
  </si>
  <si>
    <t>O - 80.01 Investigation and private security activities</t>
  </si>
  <si>
    <t>NACE_O8001</t>
  </si>
  <si>
    <t xml:space="preserve">  19 08 - Wastes from waste water treatment plants not otherwise specified</t>
  </si>
  <si>
    <t>O - 80.09 Security activities n.e.c.</t>
  </si>
  <si>
    <t>NACE_O8009</t>
  </si>
  <si>
    <t xml:space="preserve">    19 08 01 - Non-Hazardous - Screenings</t>
  </si>
  <si>
    <t>O - 81 Services to buildings and landscape activities</t>
  </si>
  <si>
    <t>NACE_O81</t>
  </si>
  <si>
    <t xml:space="preserve">    19 08 02 - Non-Hazardous - Waste from desanding</t>
  </si>
  <si>
    <t>O - 81.1 Combined facilities support activities</t>
  </si>
  <si>
    <t>NACE_O811</t>
  </si>
  <si>
    <t xml:space="preserve">    19 08 05 - Non-Hazardous - Sludges from treatment of urban waste water</t>
  </si>
  <si>
    <t>O - 81.10 Combined facilities support activities</t>
  </si>
  <si>
    <t>NACE_O8110</t>
  </si>
  <si>
    <t xml:space="preserve">    19 08 06 - Hazardous - Saturated or spent ion exchange resins</t>
  </si>
  <si>
    <t>O - 81.2 Cleaning activities</t>
  </si>
  <si>
    <t>NACE_O812</t>
  </si>
  <si>
    <t xml:space="preserve">    19 08 07 - Hazardous - Solutions and sludges from regeneration of ion exchangers</t>
  </si>
  <si>
    <t>O - 81.21 General cleaning of buildings</t>
  </si>
  <si>
    <t>NACE_O8121</t>
  </si>
  <si>
    <t xml:space="preserve">    19 08 08 - Hazardous - Membrane system waste containing heavy metals</t>
  </si>
  <si>
    <t>O - 81.22 Other building and industrial cleaning activities</t>
  </si>
  <si>
    <t>NACE_O8122</t>
  </si>
  <si>
    <t xml:space="preserve">    19 08 09 - Non-Hazardous - Grease and oil mixture from oil/water separation containing only edible oil and fats</t>
  </si>
  <si>
    <t>O - 81.23 Other cleaning activities</t>
  </si>
  <si>
    <t>NACE_O8123</t>
  </si>
  <si>
    <t xml:space="preserve">    19 08 10 - Hazardous - Grease and oil mixture from oil/water separation other than those mentioned in 19 08 09</t>
  </si>
  <si>
    <t>O - 81.3 Landscape service activities</t>
  </si>
  <si>
    <t>NACE_O813</t>
  </si>
  <si>
    <t xml:space="preserve">    19 08 11 - Hazardous - Sludges containing hazardous substances from biological treatment of industrial waste water</t>
  </si>
  <si>
    <t>O - 81.30 Landscape service activities</t>
  </si>
  <si>
    <t>NACE_O8130</t>
  </si>
  <si>
    <t xml:space="preserve">    19 08 12 - Non-Hazardous - Sludges from biological treatment of industrial waste water other than those mentioned in 19 08 11</t>
  </si>
  <si>
    <t>O - 82 Office administrative, office support and other business support activities</t>
  </si>
  <si>
    <t>NACE_O82</t>
  </si>
  <si>
    <t xml:space="preserve">    19 08 13 - Hazardous - Sludges containing hazardous substances from other treatment of industrial waste water</t>
  </si>
  <si>
    <t>O - 82.1 Office administrative and support activities</t>
  </si>
  <si>
    <t>NACE_O821</t>
  </si>
  <si>
    <t xml:space="preserve">    19 08 14 - Non-Hazardous - Sludges from other treatment of industrial waste water other than those mentioned in 19 08 13</t>
  </si>
  <si>
    <t>O - 82.10 Office administrative and support activities</t>
  </si>
  <si>
    <t>NACE_O8210</t>
  </si>
  <si>
    <t xml:space="preserve">    19 08 99 - Non-Hazardous - Wastes not otherwise specified</t>
  </si>
  <si>
    <t>O - 82.2 Activities of call centres</t>
  </si>
  <si>
    <t>NACE_O822</t>
  </si>
  <si>
    <t xml:space="preserve">  19 09 - Wastes from the preparation of water intended for human consumption or water for industrial use</t>
  </si>
  <si>
    <t>O - 82.20 Activities of call centres</t>
  </si>
  <si>
    <t>NACE_O8220</t>
  </si>
  <si>
    <t xml:space="preserve">    19 09 01 - Non-Hazardous - Solid waste from primary filtration and screenings</t>
  </si>
  <si>
    <t>O - 82.3 Organisation of conventions and trade shows</t>
  </si>
  <si>
    <t>NACE_O823</t>
  </si>
  <si>
    <t xml:space="preserve">    19 09 02 - Non-Hazardous - Sludges from water clarification</t>
  </si>
  <si>
    <t>O - 82.30 Organisation of conventions and trade shows</t>
  </si>
  <si>
    <t>NACE_O8230</t>
  </si>
  <si>
    <t xml:space="preserve">    19 09 03 - Non-Hazardous - Sludges from decarbonation</t>
  </si>
  <si>
    <t>O - 82.4 Intermediation service activities for business support service activities n.e.c.</t>
  </si>
  <si>
    <t>NACE_O824</t>
  </si>
  <si>
    <t xml:space="preserve">    19 09 04 - Non-Hazardous - Spent activated carbon</t>
  </si>
  <si>
    <t>O - 82.40 Intermediation service activities for business support service activities n.e.c.</t>
  </si>
  <si>
    <t>NACE_O8240</t>
  </si>
  <si>
    <t xml:space="preserve">    19 09 05 - Non-Hazardous - Saturated or spent ion exchange resins</t>
  </si>
  <si>
    <t>O - 82.9 Business support service activities n.e.c.</t>
  </si>
  <si>
    <t>NACE_O829</t>
  </si>
  <si>
    <t xml:space="preserve">    19 09 06 - Non-Hazardous - Solutions and sludges from regeneration of ion exchangers</t>
  </si>
  <si>
    <t>O - 82.91 Activities of collection agencies and credit bureaus</t>
  </si>
  <si>
    <t>NACE_O8291</t>
  </si>
  <si>
    <t xml:space="preserve">    19 09 99 - Non-Hazardous - Wastes not otherwise specified</t>
  </si>
  <si>
    <t>O - 82.92 Packaging activities</t>
  </si>
  <si>
    <t>NACE_O8292</t>
  </si>
  <si>
    <t xml:space="preserve">  19 10 - Wastes from shredding of metal-containing wastes</t>
  </si>
  <si>
    <t>O - 82.99 Other business support service activities n.e.c.</t>
  </si>
  <si>
    <t>NACE_O8299</t>
  </si>
  <si>
    <t xml:space="preserve">    19 10 01 - Non-Hazardous - Iron and steel waste</t>
  </si>
  <si>
    <t>P - PUBLIC ADMINISTRATION AND DEFENCE; COMPULSORY SOCIAL SECURITY</t>
  </si>
  <si>
    <t>NACE_P</t>
  </si>
  <si>
    <t xml:space="preserve">    19 10 02 - Non-Hazardous - Non-ferrous waste</t>
  </si>
  <si>
    <t>P - 84 Public administration and defence; compulsory social security</t>
  </si>
  <si>
    <t>NACE_P84</t>
  </si>
  <si>
    <t xml:space="preserve">    19 10 03 - Hazardous - Fluff-light fraction and dust containing hazardous substances</t>
  </si>
  <si>
    <t>P - 84.1 Administration of the State and the economic, social and environmental policies of the community</t>
  </si>
  <si>
    <t>NACE_P841</t>
  </si>
  <si>
    <t xml:space="preserve">    19 10 04 - Non-Hazardous - Fluff-light fraction and dust other than those mentioned in 19 10 03</t>
  </si>
  <si>
    <t>P - 84.11 General public administration activities</t>
  </si>
  <si>
    <t>NACE_P8411</t>
  </si>
  <si>
    <t xml:space="preserve">    19 10 05 - Hazardous - Other fractions containing hazardous substances</t>
  </si>
  <si>
    <t>P - 84.12 Regulation of health care, education, cultural services and other social services</t>
  </si>
  <si>
    <t>NACE_P8412</t>
  </si>
  <si>
    <t xml:space="preserve">    19 10 06 - Non-Hazardous - Other fractions other than those mentioned in 19 10 05</t>
  </si>
  <si>
    <t>P - 84.13 Regulation of and contribution to more efficient operation of businesses</t>
  </si>
  <si>
    <t>NACE_P8413</t>
  </si>
  <si>
    <t xml:space="preserve">  19 11 - Wastes from oil regeneration</t>
  </si>
  <si>
    <t>P - 84.2 Provision of services to the community as a whole</t>
  </si>
  <si>
    <t>NACE_P842</t>
  </si>
  <si>
    <t xml:space="preserve">    19 11 01 - Hazardous - Spent filter clays</t>
  </si>
  <si>
    <t>P - 84.21 Foreign affairs</t>
  </si>
  <si>
    <t>NACE_P8421</t>
  </si>
  <si>
    <t xml:space="preserve">    19 11 02 - Hazardous - Acid tars</t>
  </si>
  <si>
    <t>P - 84.22 Defence activities</t>
  </si>
  <si>
    <t>NACE_P8422</t>
  </si>
  <si>
    <t xml:space="preserve">    19 11 03 - Hazardous - Aqueous liquid wastes</t>
  </si>
  <si>
    <t>P - 84.23 Justice and judicial activities</t>
  </si>
  <si>
    <t>NACE_P8423</t>
  </si>
  <si>
    <t xml:space="preserve">    19 11 04 - Hazardous - Wastes from cleaning of fuel with bases</t>
  </si>
  <si>
    <t>P - 84.24 Public order and safety activities</t>
  </si>
  <si>
    <t>NACE_P8424</t>
  </si>
  <si>
    <t xml:space="preserve">    19 11 05 - Hazardous - Sludges from on-site effluent treatment containing hazardous substances</t>
  </si>
  <si>
    <t>P - 84.25 Fire service activities</t>
  </si>
  <si>
    <t>NACE_P8425</t>
  </si>
  <si>
    <t xml:space="preserve">    19 11 06 - Non-Hazardous - Sludges from on-site effluent treatment other than those mentioned in 19 11 05</t>
  </si>
  <si>
    <t>P - 84.3 Compulsory social security activities</t>
  </si>
  <si>
    <t>NACE_P843</t>
  </si>
  <si>
    <t xml:space="preserve">    19 11 07 - Hazardous - Wastes from flue-gas cleaning</t>
  </si>
  <si>
    <t>P - 84.30 Compulsory social security activities</t>
  </si>
  <si>
    <t>NACE_P8430</t>
  </si>
  <si>
    <t xml:space="preserve">    19 11 99 - Non-Hazardous - Wastes not otherwise specified</t>
  </si>
  <si>
    <t>Q - EDUCATION</t>
  </si>
  <si>
    <t>NACE_Q</t>
  </si>
  <si>
    <t xml:space="preserve">  19 12 - Wastes from the mechanical treatment of waste (for example sorting, crushing, compacting, pelletising) not otherwise specified</t>
  </si>
  <si>
    <t>Q - 85 Education</t>
  </si>
  <si>
    <t>NACE_Q85</t>
  </si>
  <si>
    <t xml:space="preserve">    19 12 01 - Non-Hazardous - Paper and cardboard</t>
  </si>
  <si>
    <t>Q - 85.1 Pre-primary education</t>
  </si>
  <si>
    <t>NACE_Q851</t>
  </si>
  <si>
    <t xml:space="preserve">    19 12 02 - Non-Hazardous - Ferrous metal</t>
  </si>
  <si>
    <t>Q - 85.10 Pre-primary education</t>
  </si>
  <si>
    <t>NACE_Q8510</t>
  </si>
  <si>
    <t xml:space="preserve">    19 12 03 - Non-Hazardous - Non-ferrous metal</t>
  </si>
  <si>
    <t>Q - 85.2 Primary education</t>
  </si>
  <si>
    <t>NACE_Q852</t>
  </si>
  <si>
    <t xml:space="preserve">    19 12 04 - Non-Hazardous - Plastic and rubber</t>
  </si>
  <si>
    <t>Q - 85.20 Primary education</t>
  </si>
  <si>
    <t>NACE_Q8520</t>
  </si>
  <si>
    <t xml:space="preserve">    19 12 05 - Non-Hazardous - Glass</t>
  </si>
  <si>
    <t>Q - 85.3 Secondary and post-secondary non-tertiary education</t>
  </si>
  <si>
    <t>NACE_Q853</t>
  </si>
  <si>
    <t xml:space="preserve">    19 12 06 - Hazardous - Wood containing hazardous substances</t>
  </si>
  <si>
    <t>Q - 85.31 General secondary education</t>
  </si>
  <si>
    <t>NACE_Q8531</t>
  </si>
  <si>
    <t xml:space="preserve">    19 12 07 - Non-Hazardous - Wood other than that mentioned in 19 12 06</t>
  </si>
  <si>
    <t>Q - 85.32 Vocational secondary education</t>
  </si>
  <si>
    <t>NACE_Q8532</t>
  </si>
  <si>
    <t xml:space="preserve">    19 12 08 - Non-Hazardous - Textiles</t>
  </si>
  <si>
    <t>Q - 85.33 Post-secondary non-tertiary education</t>
  </si>
  <si>
    <t>NACE_Q8533</t>
  </si>
  <si>
    <t xml:space="preserve">    19 12 09 - Non-Hazardous - Minerals (for example sand, stones)</t>
  </si>
  <si>
    <t>Q - 85.4 Tertiary education</t>
  </si>
  <si>
    <t>NACE_Q854</t>
  </si>
  <si>
    <t xml:space="preserve">    19 12 10 - Non-Hazardous - Combustible waste (refuse derived fuel)</t>
  </si>
  <si>
    <t>Q - 85.40 Tertiary education</t>
  </si>
  <si>
    <t>NACE_Q8540</t>
  </si>
  <si>
    <t xml:space="preserve">    19 12 11 - Hazardous - Other wastes (including mixtures of materials) from mechanical treatment of waste containing hazardous substances</t>
  </si>
  <si>
    <t>Q - 85.5 Other education</t>
  </si>
  <si>
    <t>NACE_Q855</t>
  </si>
  <si>
    <t xml:space="preserve">    19 12 12 - Non-Hazardous - Other wastes (including mixtures of materials) from mechanical treatment of wastes other than those mentioned in 19 12 11</t>
  </si>
  <si>
    <t>Q - 85.51 Sports and recreation education</t>
  </si>
  <si>
    <t>NACE_Q8551</t>
  </si>
  <si>
    <t xml:space="preserve">  19 13 - Wastes from soil and groundwater remediation</t>
  </si>
  <si>
    <t>Q - 85.52 Cultural education</t>
  </si>
  <si>
    <t>NACE_Q8552</t>
  </si>
  <si>
    <t xml:space="preserve">    19 13 01 - Hazardous - Solid wastes from soil remediation containing hazardous substances</t>
  </si>
  <si>
    <t>Q - 85.53 Driving school activities</t>
  </si>
  <si>
    <t>NACE_Q8553</t>
  </si>
  <si>
    <t xml:space="preserve">    19 13 02 - Non-Hazardous - Solid wastes from soil remediation other than those mentioned in 19 13 01</t>
  </si>
  <si>
    <t>Q - 85.59 Other education n.e.c.</t>
  </si>
  <si>
    <t>NACE_Q8559</t>
  </si>
  <si>
    <t xml:space="preserve">    19 13 03 - Hazardous - Sludges from soil remediation containing hazardous substances</t>
  </si>
  <si>
    <t>Q - 85.6 Educational support activities</t>
  </si>
  <si>
    <t>NACE_Q856</t>
  </si>
  <si>
    <t xml:space="preserve">    19 13 04 - Non-Hazardous - Sludges from soil remediation other than those mentioned in 19 13 03</t>
  </si>
  <si>
    <t>Q - 85.61 Intermediation service activities for courses and tutors</t>
  </si>
  <si>
    <t>NACE_Q8561</t>
  </si>
  <si>
    <t xml:space="preserve">    19 13 05 - Hazardous - Sludges from groundwater remediation containing hazardous substances</t>
  </si>
  <si>
    <t>Q - 85.69 Educational support activities n.e.c.</t>
  </si>
  <si>
    <t>NACE_Q8569</t>
  </si>
  <si>
    <t xml:space="preserve">    19 13 06 - Non-Hazardous - Sludges from groundwater remediation other than those mentioned in 19 13 05</t>
  </si>
  <si>
    <t>R - HUMAN HEALTH AND SOCIAL WORK ACTIVITIES</t>
  </si>
  <si>
    <t>NACE_R</t>
  </si>
  <si>
    <t xml:space="preserve">    19 13 07 - Hazardous - Aqueous liquid wastes and aqueous concentrates from groundwater remediation containing hazardous substances</t>
  </si>
  <si>
    <t>R - 86 Human health activities</t>
  </si>
  <si>
    <t>NACE_R86</t>
  </si>
  <si>
    <t xml:space="preserve">    19 13 08 - Non-Hazardous - Aqueous liquid wastes and aqueous concentrates from groundwater remediation other than those mentioned in 19 13 07</t>
  </si>
  <si>
    <t>R - 86.1 Hospital activities</t>
  </si>
  <si>
    <t>NACE_R861</t>
  </si>
  <si>
    <t>20 - MUNICIPAL WASTES (HOUSEHOLD WASTE AND SIMILAR COMMERCIAL, INDUSTRIAL AND INSTITUTIONAL WASTES) INCLUDING SEPARATELY COLLECTED FRACTIONS</t>
  </si>
  <si>
    <t>R - 86.10 Hospital activities</t>
  </si>
  <si>
    <t>NACE_R8610</t>
  </si>
  <si>
    <t xml:space="preserve">  20 01 - Separately collected fractions (except 15 01)</t>
  </si>
  <si>
    <t>R - 86.2 Medical and dental practice activities</t>
  </si>
  <si>
    <t>NACE_R862</t>
  </si>
  <si>
    <t xml:space="preserve">    20 01 01 - Non-Hazardous - Paper and cardboard</t>
  </si>
  <si>
    <t>R - 86.21 General medical practice activities</t>
  </si>
  <si>
    <t>NACE_R8621</t>
  </si>
  <si>
    <t>R - 86.22 Medical specialists activities</t>
  </si>
  <si>
    <t>NACE_R8622</t>
  </si>
  <si>
    <t xml:space="preserve">    20 01 08 - Non-Hazardous - Biodegradable kitchen and canteen waste</t>
  </si>
  <si>
    <t>R - 86.23 Dental practice care activities</t>
  </si>
  <si>
    <t>NACE_R8623</t>
  </si>
  <si>
    <t xml:space="preserve">    20 01 10 - Non-Hazardous - Clothes</t>
  </si>
  <si>
    <t>R - 86.9 Other human health activities</t>
  </si>
  <si>
    <t>NACE_R869</t>
  </si>
  <si>
    <t xml:space="preserve">    20 01 11 - Non-Hazardous - Textiles</t>
  </si>
  <si>
    <t>R - 86.91 Diagnostic imaging services and medical laboratory activities</t>
  </si>
  <si>
    <t>NACE_R8691</t>
  </si>
  <si>
    <t xml:space="preserve">    20 01 13 - Hazardous - Solvents</t>
  </si>
  <si>
    <t>R - 86.92 Patient transportation by ambulance</t>
  </si>
  <si>
    <t>NACE_R8692</t>
  </si>
  <si>
    <t xml:space="preserve">    20 01 14 - Hazardous - Acids</t>
  </si>
  <si>
    <t>R - 86.93 Activities of psychologists and psychotherapists, except medical doctors</t>
  </si>
  <si>
    <t>NACE_R8693</t>
  </si>
  <si>
    <t xml:space="preserve">    20 01 15 - Hazardous - Alkalines</t>
  </si>
  <si>
    <t>R - 86.94 Nursing and midwifery activities</t>
  </si>
  <si>
    <t>NACE_R8694</t>
  </si>
  <si>
    <t xml:space="preserve">    20 01 17 - Hazardous - Photochemicals</t>
  </si>
  <si>
    <t>R - 86.95 Physiotherapy activities</t>
  </si>
  <si>
    <t>NACE_R8695</t>
  </si>
  <si>
    <t xml:space="preserve">    20 01 19 - Hazardous - Pesticides</t>
  </si>
  <si>
    <t>R - 86.96 Traditional, complementary and alternative medicine activities</t>
  </si>
  <si>
    <t>NACE_R8696</t>
  </si>
  <si>
    <t xml:space="preserve">    20 01 21 - Hazardous - Fluorescent tubes and other mercury-containing waste</t>
  </si>
  <si>
    <t>R - 86.97 Intermediation service activities for medical, dental and other human health services</t>
  </si>
  <si>
    <t>NACE_R8697</t>
  </si>
  <si>
    <t xml:space="preserve">    20 01 23 - Hazardous - Discarded equipment containing chlorofluorocarbons</t>
  </si>
  <si>
    <t>R - 86.99 Other human health activities n.e.c.</t>
  </si>
  <si>
    <t>NACE_R8699</t>
  </si>
  <si>
    <t xml:space="preserve">    20 01 25 - Non-Hazardous - Edible oil and fat</t>
  </si>
  <si>
    <t>R - 87 Residential care activities</t>
  </si>
  <si>
    <t>NACE_R87</t>
  </si>
  <si>
    <t xml:space="preserve">    20 01 26 - Hazardous - Oil and fat other than those mentioned in 20 01 25</t>
  </si>
  <si>
    <t>R - 87.1 Residential nursing care activities</t>
  </si>
  <si>
    <t>NACE_R871</t>
  </si>
  <si>
    <t xml:space="preserve">    20 01 27 - Hazardous - Paint, inks, adhesives and resins containing hazardous substances</t>
  </si>
  <si>
    <t>R - 87.10 Residential nursing care activities</t>
  </si>
  <si>
    <t>NACE_R8710</t>
  </si>
  <si>
    <t xml:space="preserve">    20 01 28 - Non-Hazardous - Paint, inks, adhesives and resins other than those mentioned in 20 01 27</t>
  </si>
  <si>
    <t>R - 87.2 Residential care activities for persons living with or having a diagnosis of a mental illness or substance abuse</t>
  </si>
  <si>
    <t>NACE_R872</t>
  </si>
  <si>
    <t xml:space="preserve">    20 01 29 - Hazardous - Detergents containing hazardous substances</t>
  </si>
  <si>
    <t>R - 87.20 Residential care activities for persons living with or having a diagnosis of a mental illness or substance abuse</t>
  </si>
  <si>
    <t>NACE_R8720</t>
  </si>
  <si>
    <t xml:space="preserve">    20 01 30 - Non-Hazardous - Detergents other than those mentioned in 20 01 29</t>
  </si>
  <si>
    <t>R - 87.3 Residential care activities for older persons or persons with physical disabilities</t>
  </si>
  <si>
    <t>NACE_R873</t>
  </si>
  <si>
    <t xml:space="preserve">    20 01 31 - Hazardous - Cytotoxic and cytostatic medicines</t>
  </si>
  <si>
    <t>R - 87.30 Residential care activities for older persons or persons with physical disabilities</t>
  </si>
  <si>
    <t>NACE_R8730</t>
  </si>
  <si>
    <t xml:space="preserve">    20 01 32 - Non-Hazardous - Medicines other than those mentioned in 20 01 31</t>
  </si>
  <si>
    <t>R - 87.9 Other residential care activities</t>
  </si>
  <si>
    <t>NACE_R879</t>
  </si>
  <si>
    <t xml:space="preserve">    20 01 33 - Hazardous - Batteries and accumulators included in 16 06 01, 16 06 02 or 16 06 03 and unsorted batteries and accumulators containing these batteries</t>
  </si>
  <si>
    <t>R - 87.91 Intermediation service activities for residential care activities</t>
  </si>
  <si>
    <t>NACE_R8791</t>
  </si>
  <si>
    <t>R - 87.99 Other residential care activities n.e.c.</t>
  </si>
  <si>
    <t>NACE_R8799</t>
  </si>
  <si>
    <t xml:space="preserve">    20 01 35 - Hazardous - Discarded electrical and electronic equipment other than those mentioned in 20 01 21 and 20 01 23 containing hazardous components (3)</t>
  </si>
  <si>
    <t>R - 88 Social work activities without accommodation</t>
  </si>
  <si>
    <t>NACE_R88</t>
  </si>
  <si>
    <t xml:space="preserve">    20 01 36 - Non-Hazardous - Discarded electrical and electronic equipment other than those mentioned in 20 01 21, 20 01 23 and 20 01 35</t>
  </si>
  <si>
    <t>R - 88.1 Social work activities without accommodation for older persons or persons with disabilities</t>
  </si>
  <si>
    <t>NACE_R881</t>
  </si>
  <si>
    <t xml:space="preserve">    20 01 37 - Hazardous - Wood containing hazardous substances</t>
  </si>
  <si>
    <t>R - 88.10 Social work activities without accommodation for older persons or persons with disabilities</t>
  </si>
  <si>
    <t>NACE_R8810</t>
  </si>
  <si>
    <t xml:space="preserve">    20 01 38 - Non-Hazardous - Wood other than that mentioned in 20 01 37</t>
  </si>
  <si>
    <t>R - 88.9 Other social work activities without accommodation</t>
  </si>
  <si>
    <t>NACE_R889</t>
  </si>
  <si>
    <t>R - 88.91 Child day-care activities</t>
  </si>
  <si>
    <t>NACE_R8891</t>
  </si>
  <si>
    <t>R - 88.99 Other social work activities without accommodation n.e.c.</t>
  </si>
  <si>
    <t>NACE_R8899</t>
  </si>
  <si>
    <t xml:space="preserve">    20 01 41 - Non-Hazardous - Wastes from chimney sweeping</t>
  </si>
  <si>
    <t>S - ARTS, SPORTS AND RECREATION</t>
  </si>
  <si>
    <t>NACE_S</t>
  </si>
  <si>
    <t xml:space="preserve">    20 01 99 - Non-Hazardous - Other fractions not otherwise specified</t>
  </si>
  <si>
    <t>S - 90 Arts creation and performing arts activities</t>
  </si>
  <si>
    <t>NACE_S90</t>
  </si>
  <si>
    <t xml:space="preserve">  20 02 - Garden and park wastes (including cemetery waste)</t>
  </si>
  <si>
    <t>S - 90.1 Arts creation activities</t>
  </si>
  <si>
    <t>NACE_S901</t>
  </si>
  <si>
    <t xml:space="preserve">    20 02 01 - Non-Hazardous - Biodegradable waste</t>
  </si>
  <si>
    <t>S - 90.11 Literary creation and musical composition activities</t>
  </si>
  <si>
    <t>NACE_S9011</t>
  </si>
  <si>
    <t xml:space="preserve">    20 02 02 - Non-Hazardous - Soil and stones</t>
  </si>
  <si>
    <t>S - 90.12 Visual arts creation activities</t>
  </si>
  <si>
    <t>NACE_S9012</t>
  </si>
  <si>
    <t xml:space="preserve">    20 02 03 - Non-Hazardous - Other non-biodegradable wastes</t>
  </si>
  <si>
    <t>S - 90.13 Other arts creation activities</t>
  </si>
  <si>
    <t>NACE_S9013</t>
  </si>
  <si>
    <t xml:space="preserve">  20 03 - Other municipal wastes</t>
  </si>
  <si>
    <t>S - 90.2 Activities of performing arts</t>
  </si>
  <si>
    <t>NACE_S902</t>
  </si>
  <si>
    <t>S - 90.20 Activities of performing arts</t>
  </si>
  <si>
    <t>NACE_S9020</t>
  </si>
  <si>
    <t xml:space="preserve">    20 03 02 - Non-Hazardous - Waste from markets</t>
  </si>
  <si>
    <t>S - 90.3 Support activities to arts creation and performing arts</t>
  </si>
  <si>
    <t>NACE_S903</t>
  </si>
  <si>
    <t xml:space="preserve">    20 03 03 - Non-Hazardous - Street-cleaning residues</t>
  </si>
  <si>
    <t>S - 90.31 Operation of arts facilities and sites</t>
  </si>
  <si>
    <t>NACE_S9031</t>
  </si>
  <si>
    <t xml:space="preserve">    20 03 04 - Non-Hazardous - Septic tank sludge</t>
  </si>
  <si>
    <t>S - 90.39 Other support activities to arts and performing arts</t>
  </si>
  <si>
    <t>NACE_S9039</t>
  </si>
  <si>
    <t xml:space="preserve">    20 03 06 - Non-Hazardous - Waste from sewage cleaning</t>
  </si>
  <si>
    <t>S - 91 Libraries, archives, museums and other cultural activities</t>
  </si>
  <si>
    <t>NACE_S91</t>
  </si>
  <si>
    <t xml:space="preserve">    20 03 07 - Non-Hazardous - Bulky waste</t>
  </si>
  <si>
    <t>S - 91.1 Library and archive activities</t>
  </si>
  <si>
    <t>NACE_S911</t>
  </si>
  <si>
    <t xml:space="preserve">    20 03 99 - Non-Hazardous - Municipal wastes not otherwise specified</t>
  </si>
  <si>
    <t>S - 91.11 Library activities</t>
  </si>
  <si>
    <t>NACE_S9111</t>
  </si>
  <si>
    <t>S - 91.12 Archive activities</t>
  </si>
  <si>
    <t>NACE_S9112</t>
  </si>
  <si>
    <t>S - 91.2 Museum, collection, historical site and monument activities</t>
  </si>
  <si>
    <t>NACE_S912</t>
  </si>
  <si>
    <t>S - 91.21 Museum and collection activities</t>
  </si>
  <si>
    <t>NACE_S9121</t>
  </si>
  <si>
    <t>S - 91.22 Historical site and monument activities</t>
  </si>
  <si>
    <t>NACE_S9122</t>
  </si>
  <si>
    <t>S - 91.3 Conservation, restoration and other support activities for cultural heritage</t>
  </si>
  <si>
    <t>NACE_S913</t>
  </si>
  <si>
    <t>S - 91.30 Conservation, restoration and other support activities for cultural heritage</t>
  </si>
  <si>
    <t>NACE_S9130</t>
  </si>
  <si>
    <t>S - 91.4 Botanical and zoological garden and nature reserve activities</t>
  </si>
  <si>
    <t>NACE_S914</t>
  </si>
  <si>
    <t>S - 91.41 Botanical and zoological garden activities</t>
  </si>
  <si>
    <t>NACE_S9141</t>
  </si>
  <si>
    <t>S - 91.42 Nature reserve activities</t>
  </si>
  <si>
    <t>NACE_S9142</t>
  </si>
  <si>
    <t>S - 92 Gambling and betting activities</t>
  </si>
  <si>
    <t>NACE_S92</t>
  </si>
  <si>
    <t>S - 92.0 Gambling and betting activities</t>
  </si>
  <si>
    <t>NACE_S920</t>
  </si>
  <si>
    <t>S - 92.00 Gambling and betting activities</t>
  </si>
  <si>
    <t>NACE_S9200</t>
  </si>
  <si>
    <t>S - 93 Sports activities and amusement and recreation activities</t>
  </si>
  <si>
    <t>NACE_S93</t>
  </si>
  <si>
    <t>S - 93.1 Sports activities</t>
  </si>
  <si>
    <t>NACE_S931</t>
  </si>
  <si>
    <t>S - 93.11 Operation of sports facilities</t>
  </si>
  <si>
    <t>NACE_S9311</t>
  </si>
  <si>
    <t>S - 93.12 Activities of sports clubs</t>
  </si>
  <si>
    <t>NACE_S9312</t>
  </si>
  <si>
    <t>S - 93.13 Activities of fitness centres</t>
  </si>
  <si>
    <t>NACE_S9313</t>
  </si>
  <si>
    <t>S - 93.19 Sports activities n.e.c.</t>
  </si>
  <si>
    <t>NACE_S9319</t>
  </si>
  <si>
    <t>S - 93.2 Amusement and recreation activities</t>
  </si>
  <si>
    <t>NACE_S932</t>
  </si>
  <si>
    <t>S - 93.21 Activities of amusement parks and theme parks</t>
  </si>
  <si>
    <t>NACE_S9321</t>
  </si>
  <si>
    <t>S - 93.29 Amusement and recreation activities n.e.c.</t>
  </si>
  <si>
    <t>NACE_S9329</t>
  </si>
  <si>
    <t>T - OTHER SERVICE ACTIVITIES</t>
  </si>
  <si>
    <t>NACE_T</t>
  </si>
  <si>
    <t>T - 94 Activities of membership organisations</t>
  </si>
  <si>
    <t>NACE_T94</t>
  </si>
  <si>
    <t>T - 94.1 Activities of business, employers and professional membership organisations</t>
  </si>
  <si>
    <t>NACE_T941</t>
  </si>
  <si>
    <t>T - 94.11 Activities of business and employers membership organisations</t>
  </si>
  <si>
    <t>NACE_T9411</t>
  </si>
  <si>
    <t>T - 94.12 Activities of professional membership organisations</t>
  </si>
  <si>
    <t>NACE_T9412</t>
  </si>
  <si>
    <t>T - 94.2 Activities of trade unions</t>
  </si>
  <si>
    <t>NACE_T942</t>
  </si>
  <si>
    <t>T - 94.20 Activities of trade unions</t>
  </si>
  <si>
    <t>NACE_T9420</t>
  </si>
  <si>
    <t>T - 94.9 Activities of other membership organisations</t>
  </si>
  <si>
    <t>NACE_T949</t>
  </si>
  <si>
    <t>T - 94.91 Activities of religious organisations</t>
  </si>
  <si>
    <t>NACE_T9491</t>
  </si>
  <si>
    <t>T - 94.92 Activities of political organisations</t>
  </si>
  <si>
    <t>NACE_T9492</t>
  </si>
  <si>
    <t>T - 94.99 Activities of other membership organisations n.e.c.</t>
  </si>
  <si>
    <t>NACE_T9499</t>
  </si>
  <si>
    <t>T - 95 Repair and maintenance of computers, personal and household goods, and motor vehicles and motorcycles</t>
  </si>
  <si>
    <t>NACE_T95</t>
  </si>
  <si>
    <t>T - 95.1 Repair and maintenance of computers and communication equipment</t>
  </si>
  <si>
    <t>NACE_T951</t>
  </si>
  <si>
    <t>T - 95.10 Repair and maintenance of computers and communication equipment</t>
  </si>
  <si>
    <t>NACE_T9510</t>
  </si>
  <si>
    <t>T - 95.2 Repair and maintenance of personal and household goods</t>
  </si>
  <si>
    <t>NACE_T952</t>
  </si>
  <si>
    <t>T - 95.21 Repair and maintenance of consumer electronics</t>
  </si>
  <si>
    <t>NACE_T9521</t>
  </si>
  <si>
    <t>T - 95.22 Repair and maintenance of household appliances and home and garden equipment</t>
  </si>
  <si>
    <t>NACE_T9522</t>
  </si>
  <si>
    <t>T - 95.23 Repair and maintenance of footwear and leather goods</t>
  </si>
  <si>
    <t>NACE_T9523</t>
  </si>
  <si>
    <t>T - 95.24 Repair and maintenance of furniture and home furnishings</t>
  </si>
  <si>
    <t>NACE_T9524</t>
  </si>
  <si>
    <t>T - 95.25 Repair and maintenance of watches, clocks and jewellery</t>
  </si>
  <si>
    <t>NACE_T9525</t>
  </si>
  <si>
    <t>T - 95.29 Repair and maintenance of personal and household goods n.e.c.</t>
  </si>
  <si>
    <t>NACE_T9529</t>
  </si>
  <si>
    <t>T - 95.3 Repair and maintenance of motor vehicles and motorcycles</t>
  </si>
  <si>
    <t>NACE_T953</t>
  </si>
  <si>
    <t>T - 95.31 Repair and maintenance of motor vehicles</t>
  </si>
  <si>
    <t>NACE_T9531</t>
  </si>
  <si>
    <t>T - 95.32 Repair and maintenance of motorcycles</t>
  </si>
  <si>
    <t>NACE_T9532</t>
  </si>
  <si>
    <t>T - 95.4 Intermediation service activities for repair and maintenance of computers, personal and household goods, and motor vehicles and motorcycles</t>
  </si>
  <si>
    <t>NACE_T954</t>
  </si>
  <si>
    <t>T - 95.40 Intermediation service activities for repair and maintenance of computers, personal and household goods, and motor vehicles and motorcycles</t>
  </si>
  <si>
    <t>NACE_T9540</t>
  </si>
  <si>
    <t>T - 96 Personal service activities</t>
  </si>
  <si>
    <t>NACE_T96</t>
  </si>
  <si>
    <t>T - 96.1 Washing and cleaning of textile and fur products</t>
  </si>
  <si>
    <t>NACE_T961</t>
  </si>
  <si>
    <t>T - 96.10 Washing and cleaning of textile and fur products</t>
  </si>
  <si>
    <t>NACE_T9610</t>
  </si>
  <si>
    <t>T - 96.2 Hairdressing, beauty treatment, day spa and similar activities</t>
  </si>
  <si>
    <t>NACE_T962</t>
  </si>
  <si>
    <t>T - 96.21 Hairdressing and barber activities</t>
  </si>
  <si>
    <t>NACE_T9621</t>
  </si>
  <si>
    <t>T - 96.22 Beauty care and other beauty treatment activities</t>
  </si>
  <si>
    <t>NACE_T9622</t>
  </si>
  <si>
    <t>T - 96.23 Day spa, sauna and steam bath activities</t>
  </si>
  <si>
    <t>NACE_T9623</t>
  </si>
  <si>
    <t>T - 96.3 Funeral and related activities</t>
  </si>
  <si>
    <t>NACE_T963</t>
  </si>
  <si>
    <t>T - 96.30 Funeral and related activities</t>
  </si>
  <si>
    <t>NACE_T9630</t>
  </si>
  <si>
    <t>T - 96.4 Intermediation service activities for personal services</t>
  </si>
  <si>
    <t>NACE_T964</t>
  </si>
  <si>
    <t>T - 96.40 Intermediation service activities for personal services</t>
  </si>
  <si>
    <t>NACE_T9640</t>
  </si>
  <si>
    <t>T - 96.9 Other personal service activities</t>
  </si>
  <si>
    <t>NACE_T969</t>
  </si>
  <si>
    <t>T - 96.91 Provision of domestic personal service activities</t>
  </si>
  <si>
    <t>NACE_T9691</t>
  </si>
  <si>
    <t>T - 96.99 Other personal service activities n.e.c.</t>
  </si>
  <si>
    <t>NACE_T9699</t>
  </si>
  <si>
    <t>U - ACTIVITIES OF HOUSEHOLDS AS EMPLOYERS AND UNDIFFERENTIATED GOODS – AND SERVICE-PRODUCING ACTIVITIES OF HOUSEHOLDS FOR OWN USE</t>
  </si>
  <si>
    <t>NACE_U</t>
  </si>
  <si>
    <t>U - 97 Activities of households as employers of domestic personnel</t>
  </si>
  <si>
    <t>NACE_U97</t>
  </si>
  <si>
    <t>U - 97.0 Activities of households as employers of domestic personnel</t>
  </si>
  <si>
    <t>NACE_U970</t>
  </si>
  <si>
    <t>U - 97.00 Activities of households as employers of domestic personnel</t>
  </si>
  <si>
    <t>NACE_U9700</t>
  </si>
  <si>
    <t>U - 98 Undifferentiated goods- and service-producing activities of private households for own use</t>
  </si>
  <si>
    <t>NACE_U98</t>
  </si>
  <si>
    <t>U - 98.1 Undifferentiated goods-producing activities of private households for own use</t>
  </si>
  <si>
    <t>NACE_U981</t>
  </si>
  <si>
    <t>U - 98.10 Undifferentiated goods-producing activities of private households for own use</t>
  </si>
  <si>
    <t>NACE_U9810</t>
  </si>
  <si>
    <t>U - 98.2 Undifferentiated service-producing activities of private households for own use</t>
  </si>
  <si>
    <t>NACE_U982</t>
  </si>
  <si>
    <t>U - 98.20 Undifferentiated service-producing activities of private households for own use</t>
  </si>
  <si>
    <t>NACE_U9820</t>
  </si>
  <si>
    <t>V - ACTIVITIES OF EXTRATERRITORIAL ORGANISATIONS AND BODIES</t>
  </si>
  <si>
    <t>NACE_V</t>
  </si>
  <si>
    <t>V - 99 Activities of extraterritorial organisations and bodies</t>
  </si>
  <si>
    <t>NACE_V99</t>
  </si>
  <si>
    <t>V - 99.0 Activities of extraterritorial organisations and bodies</t>
  </si>
  <si>
    <t>NACE_V990</t>
  </si>
  <si>
    <t>V - 99.00 Activities of extraterritorial organisations and bodies</t>
  </si>
  <si>
    <t>NACE_V9900</t>
  </si>
  <si>
    <t>Label ID</t>
  </si>
  <si>
    <t>Translation (according to the language selected in the first sheet)</t>
  </si>
  <si>
    <t>English - Official</t>
  </si>
  <si>
    <t>Lithuanian - Reviewed translation by Lithuanian Standard Setter</t>
  </si>
  <si>
    <t>Polish - Reviewed translation by Polish Standard Setter</t>
  </si>
  <si>
    <t>Portuguese - Reviewed translation by Portuguese Standard Setter</t>
  </si>
  <si>
    <t>Spanish - Reviewed translation by Spanish Standard Setter</t>
  </si>
  <si>
    <t>en</t>
  </si>
  <si>
    <t>lt</t>
  </si>
  <si>
    <t>pl</t>
  </si>
  <si>
    <t>pt</t>
  </si>
  <si>
    <t>es</t>
  </si>
  <si>
    <t>template_label_entity_name_document_information</t>
  </si>
  <si>
    <t>Entity Name</t>
  </si>
  <si>
    <t>Įmonės pavadinimas</t>
  </si>
  <si>
    <t>Nazwa jednostki</t>
  </si>
  <si>
    <t>Nome da Entidade</t>
  </si>
  <si>
    <t>Nombre de la entidad</t>
  </si>
  <si>
    <t>template_label_entity_identifier_document_information</t>
  </si>
  <si>
    <t>Entity Identifier</t>
  </si>
  <si>
    <t>Įmonės identifikatorius</t>
  </si>
  <si>
    <t>Identyfikator jednostki</t>
  </si>
  <si>
    <t>Identificador da Entidade</t>
  </si>
  <si>
    <t>Identificador de entidad</t>
  </si>
  <si>
    <t>template_label_entity_identifier_scheme_document_information</t>
  </si>
  <si>
    <t>Entity Identifier Scheme</t>
  </si>
  <si>
    <t>Įmonės schema</t>
  </si>
  <si>
    <t>Schemat identyfikatora jednostki</t>
  </si>
  <si>
    <t>Esquema de Identificador da Entidade</t>
  </si>
  <si>
    <t>Esquema de Identificador de Entidad</t>
  </si>
  <si>
    <t>template_label_report_currency_document_information</t>
  </si>
  <si>
    <t>Report currency</t>
  </si>
  <si>
    <t>Ataskaitos valiuta</t>
  </si>
  <si>
    <t xml:space="preserve">Waluta sprawozdania </t>
  </si>
  <si>
    <t>Moeda de reporte</t>
  </si>
  <si>
    <t>Divisa del informe</t>
  </si>
  <si>
    <t>template_label_decimal_separator_document_information</t>
  </si>
  <si>
    <t>Decimal separator</t>
  </si>
  <si>
    <t>Dešimtainis skirtukas</t>
  </si>
  <si>
    <t>Separator dziesiętny</t>
  </si>
  <si>
    <t>Separador decimal</t>
  </si>
  <si>
    <t>template_label_report_period_document_information</t>
  </si>
  <si>
    <t>Report period</t>
  </si>
  <si>
    <t>Ataskaitos laikotarpis</t>
  </si>
  <si>
    <t>Okres sprawozdawczy</t>
  </si>
  <si>
    <t>Período do relatório</t>
  </si>
  <si>
    <t>Periodo del informe</t>
  </si>
  <si>
    <t>template_label_report_generated</t>
  </si>
  <si>
    <t>Report generated</t>
  </si>
  <si>
    <t>Ataskaita sugeneruota</t>
  </si>
  <si>
    <t>Wygenerowane sprawozdanie</t>
  </si>
  <si>
    <t>Relatório gerado</t>
  </si>
  <si>
    <t>Informe generado</t>
  </si>
  <si>
    <t>template_label_disclosures_related_to_reporting_period</t>
  </si>
  <si>
    <t>All disclosures are related to the reporting period above unless specified otherwise.</t>
  </si>
  <si>
    <t>Visi atskleidimai susiję su aukščiau nurodytu ataskaitiniu laikotarpiu, jei nėra nurodyta kitaip.</t>
  </si>
  <si>
    <t xml:space="preserve">Wszystkie ujawnienia dotyczą powyższego okresu sprawozdawczego, chyba że wskazano inaczej. </t>
  </si>
  <si>
    <t>Todas as divulgações respeitam ao período de reporte acima, salvo indicação em contrário.</t>
  </si>
  <si>
    <t>Todas las divulgaciones se refieren al período de reporte indicado arriba, salvo que se especifique lo contrario.</t>
  </si>
  <si>
    <t>template_label_table_of_contents</t>
  </si>
  <si>
    <t>Table of Contents</t>
  </si>
  <si>
    <t>Turinys</t>
  </si>
  <si>
    <t>Spis treści</t>
  </si>
  <si>
    <t>Índice</t>
  </si>
  <si>
    <t>Tabla de contenido</t>
  </si>
  <si>
    <t>template_label_reporting_period</t>
  </si>
  <si>
    <t>Reporting period:</t>
  </si>
  <si>
    <t>Ataskaitos laikotarpis:</t>
  </si>
  <si>
    <t>Período de reporte:</t>
  </si>
  <si>
    <t>Periodo de reporte:</t>
  </si>
  <si>
    <t>template_label_XBRL_facts_in_report</t>
  </si>
  <si>
    <t>This report contains {{ ns.fact_count }} XBRL facts ({{ facts | count }} unique facts).</t>
  </si>
  <si>
    <t>Šioje ataskaitoje yra {{ ns.fact_count }} XBRL elementų ({{ facts | count }} unikalių elementų).</t>
  </si>
  <si>
    <t>Niniejszy raport zawiera {{ ns.fact_count }} elementów XBRL ({{ facts | count }} unikalnych elementów).</t>
  </si>
  <si>
    <t>Este relatório contém {{ ns.fact_count }} fatos XBRL ({{ facts | count }} fatos únicos).</t>
  </si>
  <si>
    <t>Este informe contiene {{ ns.fact_count }} elementos XBRL ({{ facts | count }} elementos únicos).</t>
  </si>
  <si>
    <t>template_label_version</t>
  </si>
  <si>
    <t>Version:</t>
  </si>
  <si>
    <t>Versija:</t>
  </si>
  <si>
    <t xml:space="preserve">Wersja: </t>
  </si>
  <si>
    <t>Versão:</t>
  </si>
  <si>
    <t>Versión:</t>
  </si>
  <si>
    <t>template_label_publication_date</t>
  </si>
  <si>
    <t>Publication date:</t>
  </si>
  <si>
    <t>Publikavimo data:</t>
  </si>
  <si>
    <t>Data publikacji:</t>
  </si>
  <si>
    <t>Data de publicação:</t>
  </si>
  <si>
    <t>Fecha de publicación:</t>
  </si>
  <si>
    <t>template_label_taxonomy_entry_point</t>
  </si>
  <si>
    <t>Taxonomy entry point:</t>
  </si>
  <si>
    <t>Taksonomijos pradinė nuoroda</t>
  </si>
  <si>
    <t>Punkt wejścia do taksonomii:</t>
  </si>
  <si>
    <t>Ponto de entrada na taxonomia:</t>
  </si>
  <si>
    <t>Punto de entrada a la taxonomía:</t>
  </si>
  <si>
    <t>template_label_select_template_display_language</t>
  </si>
  <si>
    <t>Select Template Display Language:</t>
  </si>
  <si>
    <t>Pasirinkite šablono rodymo kalbą:</t>
  </si>
  <si>
    <t>Wybierz język wyświetlania szablonu:</t>
  </si>
  <si>
    <t>Selecionar idioma de exibição do modelo:</t>
  </si>
  <si>
    <t>Seleccionar el idioma de visualización de la plantilla:</t>
  </si>
  <si>
    <t>template_label_title_of_report</t>
  </si>
  <si>
    <t>Main title of the report</t>
  </si>
  <si>
    <t>Pagrindinis ataskaitos pavadinimas</t>
  </si>
  <si>
    <t>Główny tytuł sprawozdania</t>
  </si>
  <si>
    <t>Título principal do relatório</t>
  </si>
  <si>
    <t>Título principal del informe</t>
  </si>
  <si>
    <t>template_label_main_title_of_report_text</t>
  </si>
  <si>
    <t xml:space="preserve">Sustainability Report </t>
  </si>
  <si>
    <t>Tvarumo ataskaita</t>
  </si>
  <si>
    <t>Sprawozdanie w zakresie zrównoważonego rozwoju</t>
  </si>
  <si>
    <t>Relatório de Sustentabilidade</t>
  </si>
  <si>
    <t>Informe de Sostenibilidad</t>
  </si>
  <si>
    <t>template_label_subtitle_of_report</t>
  </si>
  <si>
    <t>Subtitle of the report</t>
  </si>
  <si>
    <t>Ataskaitos antraštė</t>
  </si>
  <si>
    <t>Podtytuł sprawozdania</t>
  </si>
  <si>
    <t>Subtítulo do relatório</t>
  </si>
  <si>
    <t xml:space="preserve">Subtítulo del informe
</t>
  </si>
  <si>
    <t>template_label_subtitle_of_report_text</t>
  </si>
  <si>
    <t>Prepared in accordance with the Voluntary Sustainability Reporting Standard for small and medium-sized undertakings (VSME), released by the European Commission on 30 July 2025.</t>
  </si>
  <si>
    <t>Parengta laikantis Smulkių ir vidutinių įmonių savanoriškojo tvarumo ataskaitų teikimo standarto (VSME), kurį 2025 m. liepos 30 d. paskelbė Europos Komisija.</t>
  </si>
  <si>
    <t>Przygotowano zgodnie z Dobrowolnym Standardem Sprawozdawczości Zrównoważonego Rozwoju dla małych i średnich przedsiębiorstw (VSME), opublikowanym przez Komisję Europejską w dniu 30 lipca 2025 r.</t>
  </si>
  <si>
    <t>Elaborado de acordo com o modelo de Relato de Sustentabilidade Voluntário para as pequenas e médias 
empresas (VSME), divulgado pela Comissão Europeia em 30 de julho de 2025.</t>
  </si>
  <si>
    <t>Preparado de conformidad con la Norma Voluntaria de Información sobre Sostenibilidad para pequeñas y medianas empresas (VSME), publicada por la Comisión Europea el 30 de julio de 2025.</t>
  </si>
  <si>
    <t>template_label_vsme_digital_template</t>
  </si>
  <si>
    <t>VSME Digital Template</t>
  </si>
  <si>
    <t>VSME Skaitmeninis šablonas</t>
  </si>
  <si>
    <t>Elektroniczny szablon VSME</t>
  </si>
  <si>
    <t>Modelo Digital VSME</t>
  </si>
  <si>
    <t>Plantilla Digital VSME</t>
  </si>
  <si>
    <t>template_label_the_purpose_of_this_digital_template_is_to_illustrate_how_vsme_reporting_can_be_implemented_in_a_digital_template</t>
  </si>
  <si>
    <t>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t>
  </si>
  <si>
    <t>Šio skaitmeninio šablono tikslas yra parodyti, kaip VSME ataskaitų teikimas gali būti įgyvendintas skaitmeninėje formoje. Šablonas atspindi VSME rekomendaciją, kurią Europos Komisija paskelbė 2025 m. liepos 30 d. Šablonas pateikiamas kartu su skaitmenine VSME XBRL taksonomija, kuri atspindi skaitmeninį atskleidimų duomenų modelį ir yra prieinama EFRAG interneto svetainėje. VSME reikalauja pateikti palyginamąją informaciją apie įvairius rodiklius (12 pastraipa). Šis šablonas leidžia teikti ataskaitas tik už vieną ataskaitinį laikotarpį, todėl jis gali būti naudojamas tik pirmaisiais metais. Tikimasi, kad ataskaitų teikimo sprendimai ateityje leis perkelti duomenis iš vieno laikotarpio į kitą, o tai automatiškai suteiks reikiamą palyginamąją informaciją.
Šablonas gali būti naudojamas duomenims įvesti ir tikrinti. Naudojant XBRL konverterį EFRAG svetainėje, jį galima išsaugoti kaip XBRL ataskaitą, nemokamu ir atviru duomenų formatu.Excel pavadintosios sritys taikomos atskleidimų duomenų paėmimui. Langelių reikšmės, kurios yra tuščios ir neturi jokios vertės (nei teksto, nei skaičiaus), nebus laikomos pateiktomis ir nebus įtrauktos į XBRL ataskaitą naudojant „Excel-to-XBRL“ konverterį.
Kai kurie išskleidžiamieji meniu VSME šablone turi daugiau nei 100 įrašų (pvz., NACE kodai pagal B1, teršalų sąrašas pagal B4, atliekų sąrašas pagal B7). Kad būtų lengviau ieškoti sąraše, vartotojai gali tiesiog pradėti vesti raktažodį langelyje.
Jei rodomas saugumo įspėjimas, prašome pasirinkti „Įjungti turinį“, kad būtų galima automatiškai apskaičiuoti GPS koordinates objektų sąrašui pagal B1. Į internetą nebus siunčiama jokio kito turinio, išskyrus įvestą adresą, o su paslaugų teikėju dalijami duomenys reglamentuojami pagal „Nominatim“ naudojimo politiką (geokodavimo politika) ir privatumo politiką.
Visa EFRAG sekretoriato sukurta medžiaga yra platinama nemokamai ir kaip atvirojo kodo (MIT licencija), todėl bet kuris suinteresuotas subjektas gali ją tobulinti ir integruoti į komercinius sprendimus. Tačiau, laikantis licencijos sąlygų, būtina nurodyti EFRAG kaip šaltinį, jei ši medžiaga naudojama komerciniuose sprendimuose. Su MIT licencija galima susipažinti specialiame lape.
Jei norite pateikti klausimą dėl VSME skaitmeninio šablono arba skaitmeninio šablono konverterio į XBRL, tai galima padaryti sukuriant įrašą GitHub projekte.</t>
  </si>
  <si>
    <t>Celem tego elektronicznego szablonu jest zilustrowanie sposobu, w jaki sprawozdawczość VSME może być realizowana w elektronicznym szablonie. Szablon odzwierciedla zalecenie VSME opublikowane przez Komisję Europejską w dniu 30 lipca 2025 r. Szablonowi towarzyszy elektroniczna taksonomia XBRL VSME, która reprezentuje elektroniczny model danych ujawnień i jest dostępna na stronie internetowej EFRAG. VSME wymaga ujawniania informacji porównawczych dotyczących metryk (ustęp 12). Ten szablon umożliwia sprawozdawczość tylko za jeden okres sprawozdawczy. Dlatego może być używany wyłącznie do sprawozdawczości w pierwszym roku. Przewiduje się, że rozwiązania sprawozdawcze umożliwią kontynuację kolejnych okresów sprawozdawczych, automatycznie dostarczając niezbędne informacje porównawcze. Ten szablon może być używany do wprowadzania danych i ich walidacji. Korzystając z konwertera XBRL na stronie EFRAG, można go zapisać jako sprawozdanie XBRL w otwartym i bezpłatnym formacie danych. Zakresy danych określone w Excelu są używane do wyodrębniania ujawnień. Komórki, które są puste i nie zawierają żadnej wartości (ani tekstu, ani liczby), nie będą uważane jako zawierające ujawnienie i nie zostaną uwzględnione w raporcie XBRL podczas korzystania z konwertera Excel-na-XBRL. Kilka menu rozwijanych w VSME zawiera ponad 100 wpisów (np. kody NACE w B1, lista zanieczyszczeń w B4, lista odpadów w B7). Aby wyszukać na liście, użytkownicy mogą po prostu zacząć wpisywać słowa kluczowe w komórce. Jeśli pojawi się ostrzeżenie o zabezpieczeniach, proszę "Włączyć zawartość", aby umożliwić automatyczne obliczanie współrzędnych GPS dla listy miejsc w B1. Żadna wartość poza wprowadzonym adresem nie będzie wysyłana do internetu, a treści udostępnione dostawcy można znaleźć w Polityce użytkowania Nominatim (Polityka geokodowania) i Polityce prywatności. Wszystkie materiały opracowane przez Sekretariat EFRAG są udostępniane bezpłatnie i jako otwarte oprogramowanie (licencja MIT), co umożliwia każdej zainteresowanej stronie ich dalsze ulepszanie i integrację z rozwiązaniami komercyjnymi. Jednakże, z poszanowaniem warunków licencji, dostawcy tych rozwiązań komercyjnych muszą podać odniesienie do EFRAG. Można zapoznać się z licencją MIT w odpowiednim arkuszu. Jeśli chcą Państwo zgłosić problem dotyczący elektronicznego szablonu VSME lub elektronicznego konwertera szablonu do XBRL, prosimy o utworzenie zgłoszenia w projekcie GitHub.</t>
  </si>
  <si>
    <t xml:space="preserve">O objetivo deste modelo digital é ilustrar como o relatório VPME pode ser implementado num modelo digital. O modelo reflete a Recomendação VPME conforme publicada pela Comissão Europeia em 30 de julho de 2025. O modelo é acompanhado por uma taxonomia digital VPME XBRL, que representa o modelo de dados digital das divulgações e está disponível no site da EFRAG. A VPME requer a divulgação de informações comparativas sobre métricas (parágrafo 12). Este modelo permite a elaboração de relatórios para apenas um período de reporte. Portanto, pode ser utilizado apenas para reporte no primeiro ano. Espera-se que as soluções de reporte permitam o avanço dos períodos de reporte, o que forneceria automaticamente as informações comparativas necessárias.
Este modelo pode ser usado para introdução e validação de dados. Ao usar um Conversor XBRL no site da EFRAG, pode ser salvo como um relatório XBRL, num formato de dados livre e aberto. Intervalos selecionados do Excel são usados para extrair as divulgações. Células de valor que estão vazias e não têm nenhum valor (nem texto nem número) não serão consideradas como reportadas e não serão incluídas no relatório XBRL ao usar o conversor Excel-para-XBRL.
Alguns menus de seleção de opção de escolha na VPME têm mais de 100 opções (por exemplo, os códigos NACE sob B1, a lista de poluentes sob B4, a lista de resíduos sob B7). Para procurar na lista, os utilizadores podem simplesmente começar a digitar palavras-chave de pesquisa na célula.
Se for exibido um aviso de segurança, por favor "Ative o Conteúdo" para permitir o cálculo automático das coordenadas GPS para a lista de locais sob B1. Nenhum conteúdo além do endereço inserido será enviado para a Internet e os conteúdos partilhados com o provedor podem ser encontrados na Política de Uso do Nominatim (Política de Geocodificação) e na Política de Privacidade.
Todos os materiais desenvolvidos pela Secretaria da EFRAG são disponibilizados gratuitamente e como código aberto (licença MIT), o que permitirá a qualquer parte interessada melhorá-los e integrá-los em soluções comerciais. No entanto, respeitando as condições da licença, a referência à EFRAG deve ser mencionada pelos fornecedores dessas soluções comerciais. É possível consultar a Licença MIT na folha específica.
Se desejar relatar um problema com o Modelo Digital VPME ou com o Conversor Digital para XBRL, por favor faça-o criando um problema no projeto GitHub.
</t>
  </si>
  <si>
    <t>El propósito de esta plantilla digital es ilustrar cómo se puede implementar la presentación de informes VSME en una plantilla digital. La plantilla refleja la Recomendación VSME publicada por la Comisión Europea el 30 de julio de 2025. La plantilla va acompañada de una taxonomía digital VSME XBRL, que representa el modelo digital de datos de las divulgaciones y está disponible en el sitio web de EFRAG. El VSME requiere la divulgación de información comparativa sobre métricas (párrafo 12). Esta plantilla permite la presentación de informes para un único período de informe. Por lo tanto, podría usarse solo para la presentación de informes en el primer año. Se espera que las soluciones de informes permitan la continuidad de los períodos de informe, lo que proporcionaría automáticamente la información comparativa necesaria.
Esta plantilla puede ser utilizada para la entrada y validación de datos. Al usar un Conversor XBRL en el sitio web de EFRAG, se puede guardar como un informe XBRL, en un formato de datos libre y abierto. Los rangos nombrados de Excel se utilizan para extraer las divulgaciones. Las celdas de valor que estén vacías y no tengan ningún valor (ni texto ni número) no se considerarán como reportadas y no se incluirán en el informe XBRL al usar el conversor de Excel a XBRL.
Algunos menús desplegables en el VSME tienen más de 100 entradas (por ejemplo, los códigos NACE bajo B1, la lista de contaminantes bajo B4, la lista de residuos bajo B7). Para buscar en la lista, los usuarios pueden simplemente empezar a escribir palabras clave en la celda.
Si se muestra una advertencia de seguridad, por favor “Habilite el contenido” para permitir el cálculo automático de las coordenadas GPS para la lista de sitios bajo B1. No se enviará contenido distinto de la dirección ingresada al proveedor y los contenidos compartidos con el proveedor pueden encontrarse en la Política de Uso de Nominatim (Política de Geocodificación) y en la Política de Privacidad.
Todos los materiales desarrollados por la Secretaría de EFRAG se publican de forma gratuita y como código abierto (licencia MIT), lo que permitirá a cualquier interesado mejorarlos e integrarlos en soluciones comerciales. Sin embargo, respetando las condiciones de la licencia, los proveedores de dichas soluciones comerciales deben mencionar la referencia a EFRAG. Es posible consultar la Licencia MIT en la hoja específica.
Si desea presentar un problema con la Plantilla Digital VSME o con el Convertidor de Plantilla Digital a XBRL, por favor hágalo creando un issue en el proyecto de GitHub.</t>
  </si>
  <si>
    <t>template_label_how_to_use_it</t>
  </si>
  <si>
    <t>How to use it:</t>
  </si>
  <si>
    <t>Kaip tai naudoti:</t>
  </si>
  <si>
    <t>Jak korzystać:</t>
  </si>
  <si>
    <t>Como usar:</t>
  </si>
  <si>
    <t>Cómo utilizarlo:</t>
  </si>
  <si>
    <t>template_label_0_provide_information_that_is_mandatory_in_order_to_generate_the_vsme_and_xbrl_report</t>
  </si>
  <si>
    <t>0. Provide information that is mandatory in order to generate the VSME and XBRL Report.</t>
  </si>
  <si>
    <t>0. Pateikite informaciją, kuri yra privaloma norint sukurti VSME ir XBRL ataskaitą.</t>
  </si>
  <si>
    <t>0. Dostarcz informacje, które są obowiązkowe do wygenerowania sprawozdania VSME i XBRL.</t>
  </si>
  <si>
    <t>0. Forneça as informações que são obrigatórias para gerar o Relatório VSME e XBRL.</t>
  </si>
  <si>
    <t>0. Proporcione la información que es obligatoria para generar el informe VSME y XBRL.</t>
  </si>
  <si>
    <t>template_label_1_fill_in_the_disclosures_on_the_four_worksheets</t>
  </si>
  <si>
    <t>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t>
  </si>
  <si>
    <t>1. Užpildykite atskleidimus keturiuose darbalapiuose (Bendroji informacija, Aplinkos srities atskleidimai, Socialinės srities atskleidimai, Valdymo srities atskleidimai) baltuose langeliuose, apibrėžtuose juodu rėmeliu. Neveskite informacijos už šių langelių ribų. Išskleidžiamuosiuose sąrašuose galite ieškoti, įvesdami tekstą tiesiai į langelį. Pažymėjus kai kuriuos langelius, pasirodys trumpos užuominos.</t>
  </si>
  <si>
    <t>1. Wpisz ujawnienia na czterech arkuszach (Informacje ogólne, Ujawnienia środowiskowe, Ujawnienia społeczne, Ujawnienia dotyczące ładu korporacyjnego) w białych komórkach obramowanych czarną ramką. Nie wpisuj informacji poza tymi komórkami. Wyszukiwanie w rozwijanych listach można przeprowadzać, wpisując tekst w komórkę. Wskazówki (komunikaty wejściowe) są wyświetlane w kilku komórkach po ich zaznaczeniu.</t>
  </si>
  <si>
    <t>1. Preencha as divulgações nas quatro folhas de cálculo (Informações Gerais, Divulgações Ambientais, Divulgações Sociais, Divulgações de Governação) nas células brancas emolduradas por uma borda preta. Não insira informações fora dessas células. A pesquisa nas listas de opção de escolha pode ser feita digitando na célula. Dicas (mensagens de entrada) são mostradas em várias células ao selecioná-las.</t>
  </si>
  <si>
    <t>1. Rellene las revelaciones en las cuatro hojas de trabajo (Información General, Información Ambiental, Información Social, Información de Gobernanza) en las celdas blancas enmarcadas por un borde negro. No introduzca información fuera de esas celdas. La búsqueda en listas desplegables se puede hacer escribiendo en la celda. Se muestran sugerencias (mensajes de entrada) en varias celdas al seleccionarlas.</t>
  </si>
  <si>
    <t>template_label_2_find_more_information_on_the_actual_disclosure_requirements_in_the_vsme_standard</t>
  </si>
  <si>
    <t>2. Find more information on the actual disclosure requirements in the VSME Standard and the related guidance linked to each cell. Additional or entity-specific disclosures can be provided in each text box at the end of each worksheet.</t>
  </si>
  <si>
    <t>2. Daugiau informacijos apie faktinius atskleidimo reikalavimus rasite VSME standarte ir su kiekvienu langeliu susietose gairėse. Papildomi arba įmonei specifiniai atskleidimai gali būti pateikiami kiekvieno darbalapio pabaigoje esančiuose teksto laukeliuose.</t>
  </si>
  <si>
    <t>2. Znajdź więcej informacji na temat aktualnych wymogów sprawozdawczych wynikająch z VSME oraz powiązanych wytycznych dotyczących danej komórki. Dodatkowe lub specyficzne dla jednostki ujawnienia można zamieścić w każdym polu tekstowym na końcu każdego arkusza.</t>
  </si>
  <si>
    <t xml:space="preserve">2. Encontre mais informações sobre os requisitos atuais de divulgação no Modelo VSME e na orientação relacionada vinculada a cada célula. Divulgações adicionais ou específicas da entidade podem ser fornecidas em cada caixa de texto no final de cada folha de cálculo.
</t>
  </si>
  <si>
    <t>2. Encuentre más información sobre los requisitos reales de divulgación en el Estándar VSME y la orientación relacionada vinculada a cada celda. Se pueden proporcionar divulgaciones adicionales o específicas de la entidad en cada cuadro de texto al final de cada hoja de cálculo.</t>
  </si>
  <si>
    <t>template_label_3_for_open_tables_like_the_list_of_subsidizers_sites_please_expand_the_groups_by_clicking_the_plus</t>
  </si>
  <si>
    <t>3. For open tables like the List of subsidiaries/sites, please expand the groups by clicking the plus [+] icon on the left side. If more rows are needed, they can be added by inserting them between the first and last row. The row IDs in open tables must remain unique per table.</t>
  </si>
  <si>
    <t>3. Atvirose lentelėse (pavyzdžiui, „dukterinių įmonių / vietų (objektų) sąrašas) grupes išskleiskite spustelėdami kairėje esantį piktogramą „+“. Jei reikia daugiau eilučių, jas pridėkite įterpdami tarp pirmosios ir paskutinės eilutės.  Eilučių ID atviruose lentelėse turi išlikti unikalūs kiekvienoje lentelėje.</t>
  </si>
  <si>
    <t>3. Dla tabel mogących być uzupełnianych o dodatkowe wiersze, takich jak lista jednostek zależnych/ lokalizacji, proszę rozwinąć grupy, klikając ikonę plusa [+] po lewej stronie. Jeśli potrzebne są dodatkowe wiersze, można je dodać, wstawiając je między pierwszy a ostatnim wierszem. Identyfikatory wierszy w otwartych tabelach muszą pozostać unikalne dla każdej tabeli.</t>
  </si>
  <si>
    <t xml:space="preserve">3. Para tabelas abertas, como a Lista de subsídios/locais, por favor expanda os grupos clicando no ícone de mais [+] no lado esquerdo. Se forem necessárias mais linhas, estas podem ser adicionadas inserindo-as entre a primeira e a última linha. Os IDs das linhas em tabelas abertas devem permanecer únicos por tabela.
</t>
  </si>
  <si>
    <t>3. Para tablas abiertas como la Lista de filiales/emplazamientos, por favor expanda los grupos haciendo clic en el icono de más [+] en el lado izquierdo. Si se necesitan más filas, se pueden agregar insertándolas entre la primera y la última fila. Los ID de fila en tablas abiertas deben permanecer únicos por tabla.</t>
  </si>
  <si>
    <t>template_label_4_validate_the_data_entered_by_checking_the_validation_status</t>
  </si>
  <si>
    <t>4. Validate the data entered by checking the validation status. The report is considered incomplete or erroneous if the validation is fails, which might result in an invalid XBRL report.</t>
  </si>
  <si>
    <t>4. Patvirtinkite įvestus duomenis, patikrindami patikros būseną.
Ataskaita bus laikoma neišsamia arba klaidinga, jei patikra nepavyks, o tai gali lemti netinkamą XBRL ataskaitą.</t>
  </si>
  <si>
    <t>4. Zweryfikuj wprowadzone dane, sprawdzając status walidacji. Sprawozdanie jest uznawane za niekompletne lub błędne, jeśli walidacja nie powiedzie się, co może skutkować nieprawidłowym sprawozdaniem XBRL.</t>
  </si>
  <si>
    <t>4. Validar os dados introduzidos, verificando o estado da validação. O relatório é considerado incompleto ou incorreto se a validação falhar, podendo resultar num relatório XBRL inválido.</t>
  </si>
  <si>
    <t>4. Valide los datos introducidos comprobando el estado de validación. Se considera que el informe está incompleto o contiene errores si la validación falla, lo que podría resultar en un informe XBRL no válido.</t>
  </si>
  <si>
    <t>template_label_5_convert_this_template_to_an_inline_xbrl_report</t>
  </si>
  <si>
    <t>5. Convert this template to an Inline XBRL report (or XBRL-JSON, XBRL-CSV), using the online converter. Pay attention to the XBRL validation performed by the validator.</t>
  </si>
  <si>
    <t>5. Šį šabloną konvertuokite į Inline XBRL ataskaitą (arba XBRL-JSON, XBRL-CSV), naudodami internetinį konvertavimo įrankį. Atkreipkite dėmesį į XBRL patikros rezultatus, kuriuos pateikia tikrinimo įrankis.</t>
  </si>
  <si>
    <t>5. Przekonwertuj ten uzupełniony szablon na raport Inline XBRL (lub XBRL-JSON, XBRL-CSV) korzystając z konwertera online. Zwróć uwagę na walidację XBRL przeprowadzaną przez walidator.</t>
  </si>
  <si>
    <t>5. Converta este modelo para um relatório Inline XBRL (ou XBRL-JSON, XBRL-CSV), utilizando el conversor online. Esteja atento à validação XBRL efetuada pelo validador.</t>
  </si>
  <si>
    <t>5. Convierte esta plantilla en un informe Inline XBRL (o XBRL-JSON, XBRL-CSV) utilizando el convertidor en línea. Presta atención a la validación XBRL realizada por el validador.</t>
  </si>
  <si>
    <t>template_label_6_the_undertaking_may_also_upload_the_report_to_public_repositories_or_a_webpage</t>
  </si>
  <si>
    <t>6. The undertaking may also upload the report to public repositories or a webpage.</t>
  </si>
  <si>
    <t>6. Įmonė taip pat gali įkelti ataskaitą į viešai prieinamas saugyklas arba interneto svetainę.</t>
  </si>
  <si>
    <t xml:space="preserve">6. Jednostka może również umieścić sprawozdanie w publicznych repozytoriach lub na stronie nternetowej. </t>
  </si>
  <si>
    <t>6. A empresa também pode carregar o relatório em repositórios públicos ou numa página web.</t>
  </si>
  <si>
    <t>6. El empresario también podrá subir el informe a repositorios públicos o a una página web.</t>
  </si>
  <si>
    <t>template_label_cell_background_color_index</t>
  </si>
  <si>
    <t>Cell background color index:</t>
  </si>
  <si>
    <t>Langelio fono spalvos indeksas:</t>
  </si>
  <si>
    <t>Indeks koloru tła komórki:</t>
  </si>
  <si>
    <t>Índice da cor de fundo da célula:</t>
  </si>
  <si>
    <t>Índice de color de fondo de celda:</t>
  </si>
  <si>
    <t>template_label_general_principles</t>
  </si>
  <si>
    <t>General Principles</t>
  </si>
  <si>
    <t>Bendrieji principai</t>
  </si>
  <si>
    <t>Zasady ogólne</t>
  </si>
  <si>
    <t>Princípios Gerais</t>
  </si>
  <si>
    <t xml:space="preserve">Principios generales
</t>
  </si>
  <si>
    <t>template_label_indicates_that_the_disclosure_is_from_the_general_principles_of_the_vsme</t>
  </si>
  <si>
    <t>Indicates that the disclosure is from the general principles of the VSME.</t>
  </si>
  <si>
    <t xml:space="preserve">Nurodo, kad atskleidimas yra iš VSME bendrųjų principų. 
</t>
  </si>
  <si>
    <t>Wskazuje, że ujawnienie informacji pochodzi z ogólnych zasad VSME.</t>
  </si>
  <si>
    <t>Indica que a divulgação se baseia nos princípios gerais do VSME.</t>
  </si>
  <si>
    <t>Indica que la divulgación proviene de los principios generales del VSME.</t>
  </si>
  <si>
    <t>template_label_basic_module</t>
  </si>
  <si>
    <t>Basic Module</t>
  </si>
  <si>
    <t>Bazinis modulis</t>
  </si>
  <si>
    <t>Moduł podstawowy</t>
  </si>
  <si>
    <t>Módulo de base</t>
  </si>
  <si>
    <t>Módulo básico</t>
  </si>
  <si>
    <t>template_label_indicates_that_the_disclosure_is_from_the_vsme_basic_module</t>
  </si>
  <si>
    <t>Indicates that the disclosure is from the VSME Basic Module.</t>
  </si>
  <si>
    <t>Nurodo, kad atskleidimas pateiktas pagal VSME pagrindinį modulį.</t>
  </si>
  <si>
    <t>Wskazuje, że ujawnienie pochodzi z modułu podstawowego VSME.</t>
  </si>
  <si>
    <t>Indica que a divulgação é proveniente do Módulo Básico VSME.</t>
  </si>
  <si>
    <t>Indica que la divulgación proviene del Módulo Básico VSME.</t>
  </si>
  <si>
    <t>template_label_comprehensive_module</t>
  </si>
  <si>
    <t>Comprehensive Module</t>
  </si>
  <si>
    <t>Išsamusis modulis</t>
  </si>
  <si>
    <t>Moduł kompleksowy</t>
  </si>
  <si>
    <t>Módulo completo</t>
  </si>
  <si>
    <t>template_label_indicates_that_the_disclosure_is_from_the_vsme_comprehensive_module</t>
  </si>
  <si>
    <t>Indicates that the disclosure is from the VSME Comprehensive Module.</t>
  </si>
  <si>
    <t>Nurodo, kad atskleidimas pateikiamas pagal VSME Išsamųjį modulį.</t>
  </si>
  <si>
    <t>Wskazuje, że ujawnienie pochodzi z modułu kompleksowego VSME.</t>
  </si>
  <si>
    <t>Indica que la divulgación proviene del Módulo Completo VSME.</t>
  </si>
  <si>
    <t>template_label_indicates_that_the_cell_is_automatically_calculated_and_that_no_data_entry_is_required</t>
  </si>
  <si>
    <t>Indicates that the cell is automatically calculated and that no data entry is required.</t>
  </si>
  <si>
    <t>Langelyje automatiškai apskaičiuojama langelio vertė, todėl duomenų įvedimas nėra reikalingas.</t>
  </si>
  <si>
    <t>Wskazuje, że komórka jest obliczana automatycznie i nie jest wymagane ręczne wprowadzanie danych.</t>
  </si>
  <si>
    <t>Indica que a célula é calculada automaticamente e que não é necessária a introdução de dados.</t>
  </si>
  <si>
    <t xml:space="preserve">Indica que la celda se calcula automáticamente y que no se requiere introducir datos. 
</t>
  </si>
  <si>
    <t>template_label_indicates_that_the_datapoint_often_a_condition_will_not_be_included_in_the_vsme_and_digital_xbrl_report</t>
  </si>
  <si>
    <t>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t>
  </si>
  <si>
    <t>Nurodo, kad duomenų taškas (dažnai – sąlyga) nebus įtrauktas į VSME ir skaitmeninę XBRL ataskaitą. Šie langeliai pateikiami siekiant palengvinti atskleidimo pildymą, nes jie arba lemia atskleidimo taikomumą, arba leidžia automatiškai apskaičiuoti atskleidimą. Jei geltoni langeliai nenaudojami vertei apskaičiuoti, ataskaitoje teikiamą bendrą sumą galima įvesti rankiniu būdu, perrašant formulę.</t>
  </si>
  <si>
    <t xml:space="preserve">Wskazuje, że punkt danych (często warunek) nie będzie uwzględniany w sprawozdaniu VSME oraz elektronicznym sprawozdaniu XBRL. Te komórki są przewidziane, aby ułatwić wypełnienie, ponieważ albo inicjują zastosowanie ujawnienia, albo umożliwiają automatyczne obliczenie ujawnienia. Jeśli żółte komórki nie są wykorzystywane do obliczenia wartości, ujawniana suma może zostać wprowadzona ręcznie, nadpisując formułę. </t>
  </si>
  <si>
    <t>Indica que o dado (frequentemente uma condição) não será incluído no relatório VSME e no relatório digital XBRL. Estas células são fornecidas para facilitar a conclusão da divulgação, pois ou acionam a aplicabilidade da divulgação ou permitem o cálculo automático da divulgação. Se as células amarelas não estiverem a ser utilizadas para calcular um valor, o total a ser reportado pode ser inserido manualmente, sobrescrevendo a fórmula.</t>
  </si>
  <si>
    <t xml:space="preserve">Indica que el punto de datos (a menudo una condición) no se incluirá en el informe VSME y en el informe digital XBRL. Estas celdas se proporcionan para facilitar la cumplimentación de la divulgación, ya que activan la aplicabilidad de la divulgación o permiten el cálculo automático de la misma. Si las celdas amarillas no se utilizan para calcular un valor, el total que se debe informar puede introducirse manualmente, sobrescribiendo la fórmula. 
</t>
  </si>
  <si>
    <t>template_label_indicates_that_no_data_entry_is_required_unless_certain_logics_are_selected_in_the_disclosure_itself</t>
  </si>
  <si>
    <t>Indicates that no data entry is required unless certain logics are selected in the disclosure itself. When one of these logics is selected, then this cell will turn white.</t>
  </si>
  <si>
    <t>Nurodo, kad duomenų įvestis nereikalinga, nebent pačiame atskleidime pasirenkamos tam tikros loginės sąlygos. Pasirinkus vieną iš jų, šis langelis taps baltas.</t>
  </si>
  <si>
    <t>Wskazuje, że nie jest wymagane wprowadzanie danych, chyba że w samym ujawnieniu wybrane zostaną określone formuły logiczne. Gdy jedna z tych formuł logicznych zostanie wybrana, to pole zmieni kolor na biały.</t>
  </si>
  <si>
    <t>Indica que não é necessário inserir dados, a menos que certas lógicas sejam selecionadas na própria divulgação. Quando uma dessas lógicas é selecionada, esta célula ficará branca.</t>
  </si>
  <si>
    <t>Indica que no se requiere ninguna entrada de datos a menos que se seleccionen ciertas lógicas en la propia divulgación. Cuando se selecciona una de estas lógicas, entonces esta celda se pondrá blanca.</t>
  </si>
  <si>
    <t>template_label_validation_missing_value_error_velue_inconsistency_invalid_url</t>
  </si>
  <si>
    <t>Validation MISSING VALUE/ERROR/VALUE INCONSISTENCY/INVALID URL</t>
  </si>
  <si>
    <t xml:space="preserve">Patikrinimas TRŪKSTAMA REIKŠMĖ/KLAIDA/REIKŠMIŲ NESUTAPIMAS/NETEISINGAS URL </t>
  </si>
  <si>
    <t>Walidacja BRAK WARTOŚCI/ BŁĄD/ NIESPÓJNOŚĆ WARTOŚCI/ NIEPRAWIDŁOWY ADRES URL</t>
  </si>
  <si>
    <t>Validação VALOR EM FALTA/ERRO/INCONSISTÊNCIA DE VALOR/URL INVÁLIDO</t>
  </si>
  <si>
    <t>Validación VALOR NO INFORMADO/ERROR/INCONSISTENCIA DE VALOR/URL INVÁLIDA</t>
  </si>
  <si>
    <t>template_label_indicates_that_either_data_entry_is_incorrect_in_terms_of_format_or_that_certain_information</t>
  </si>
  <si>
    <t>Indicates that either data entry is incorrect in terms of format or that certain information is missing in order to correctly report on the disclosure.</t>
  </si>
  <si>
    <t>Nurodo, kad duomenų įvedimas yra neteisingas (neatitinka formato reikalavimų) arba trūksta tam tikros informacijos, būtinos tinkamai pateikti atskleidimą.</t>
  </si>
  <si>
    <t>Wskazuje, że wpisane dane są niepoprawne pod względem formatu lub brakuje pewnych informacji, aby prawidłowo sporządzić sprawozdanie dotyczący ujawnienia.</t>
  </si>
  <si>
    <t xml:space="preserve">Indica que a introdução dos dados está incorreta em termos de formato ou que faltam certas informações para relatar corretamente a divulgação. 
</t>
  </si>
  <si>
    <t>Indica que la entrada de datos es incorrecta en cuanto al formato o que falta cierta información para informar correctamente sobre la divulgación.</t>
  </si>
  <si>
    <t>template_label_validation_ok</t>
  </si>
  <si>
    <t>Walidacja OK</t>
  </si>
  <si>
    <t>Validação OK</t>
  </si>
  <si>
    <t>Validación correcta</t>
  </si>
  <si>
    <t>template_label_indicates_that_data_entry_is_ok_and_the_undertaking_can_proceed_to_the_next_disclosure</t>
  </si>
  <si>
    <t>Indicates that data entry is OK and the undertaking can proceed to the next disclosure.</t>
  </si>
  <si>
    <t>Nurodo, kad duomenų įvedimas yra teisingas ir įmonė gali toliau tęsti atskleidimą.</t>
  </si>
  <si>
    <t>Wskazuje, że wprowadzenie danych jest poprawne, a jednostka może przejść do kolejnego ujawnienia.</t>
  </si>
  <si>
    <t xml:space="preserve">Indica que a introdução dos dados está correta e que a empresa pode avançar para a próxima divulgação.
</t>
  </si>
  <si>
    <t>Indica que la entrada de datos es correcta y que la empresa puede proceder a la siguiente divulgación.</t>
  </si>
  <si>
    <t>template_label_no_value_can_be_entered_in_the_cell</t>
  </si>
  <si>
    <t>No value can be entered in the cell.</t>
  </si>
  <si>
    <t>Į langelį negalima įvesti jokios reikšmės.</t>
  </si>
  <si>
    <t>W komórce nie można wprowadzić żadnej wartości.</t>
  </si>
  <si>
    <t>Nenhum valor pode ser inserido na célula.</t>
  </si>
  <si>
    <t>No se puede introducir ningún valor en la celda.</t>
  </si>
  <si>
    <t>template_label_lists_can_be_expanded_using_the_plus_button_on_the_left</t>
  </si>
  <si>
    <t>Lists can be expanded using the plus [+] button on the left. If the number of rows is not sufficient, additional rows can be added by right clicking the second row and selecting "Insert row".</t>
  </si>
  <si>
    <t xml:space="preserve">Sąrašus galima išplėsti paspaudžiant kairėje esantį pliuso žymeklį [+]. Jei eilučių skaičius nepakankamas, papildomos eilutės gali būti įterpiamos dešiniuoju pelės mygtuku paspaudus antrą eilutę ir pasirinkus „Įterpti eilutę“.
</t>
  </si>
  <si>
    <t>Listy można rozwijać, używając przycisku plus [+] po lewej stronie. Jeśli liczba wierszy jest niewystarczająca, można dodać dodatkowe wiersze, klikając prawym przyciskiem myszy drugi wiersz i wybierając "Wstaw wiersz".</t>
  </si>
  <si>
    <t xml:space="preserve">As the exact sentence "Lists can be expanded using the plus [+] button on the left. If the number of rows is not sufficient, additional rows can be added by right clicking the second row and selecting "Insert row"." is not found exactly in the uploaded English or Portuguese files, I will create a Portuguese translation that is consistent with the terminology and style from the files.
Translation:
"As listas podem ser expandidas utilizando o botão de mais [+] à esquerda. Se o número de linhas não for suficiente, linhas adicionais podem ser inseridas clicando com o botão direito na segunda linha e selecionando 'Inserir linha'."
</t>
  </si>
  <si>
    <t>Las listas se pueden expandir utilizando el botón más [+] situado a la izquierda. Si el número de filas no es suficiente, se pueden añadir filas adicionales haciendo clic con el botón derecho en la segunda fila y seleccionando "Insertar fila".</t>
  </si>
  <si>
    <t>template_label_efrag_is_funded_by_the_european_union_through_the_single_market_programme</t>
  </si>
  <si>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t>
  </si>
  <si>
    <t>EFRAG finansuojama Europos Sąjungos pagal Vieningos rinkos programą, kurioje taip pat dalyvauja EEE–ELPA šalys (Norvegija, Islandija ir Lichtenšteinas) bei Kosovas. Tačiau visos pateikiamos nuomonės ir požiūriai yra tik autoriaus (-ių) ir nebūtinai atspindi Europos Sąjungos, Europos Komisijos ar valstybių, dalyvaujančių Vieningos rinkos programoje, poziciją. Nei Europos Sąjunga, nei Europos Komisija, nei valstybės, dalyvaujančios Vieningos rinkos programoje, negali būti laikomos už jas atsakingomis.
© 2025 EFRAG. Visos teisės saugomos.</t>
  </si>
  <si>
    <t>EFRAG jest finansowany przez Unię Europejską w ramach Programu Jednolitego Rynku, w którym uczestniczą kraje EOG-EFTA (Norwegia, Islandia i Liechtenstein), a także Kosowo. Jakiekolwiek wyrażone opinie są jednak wyłącznie opiniami autora(ów) i niekoniecznie odzwierciedlają stanowisko Unii Europejskiej, Komisji Europejskiej ani krajów uczestniczących w Programie Jednolitego Rynku. Ani Unia Europejska, ani Komisja Europejska, ani kraje uczestniczące w Programie Jednolitego Rynku nie mogą być za nie pociągane do odpowiedzialności. © 2025 EFRAG Wszelkie prawa zastrzeżone.</t>
  </si>
  <si>
    <t>A EFRAG é financiada pela União Europeia através do Programa do Mercado Único, do qual participam os países do EEE-AEFA (Noruega, Islândia e Liechtenstein), bem como o Kosovo. Quaisquer opiniões expressas são, contudo, apenas dos autores e não refletem necessariamente as da União Europeia, da Comissão Europeia ou dos países que participam no Programa do Mercado Único. Nem a União Europeia, nem a Comissão Europeia, nem os países participantes do Programa do Mercado Único podem ser responsabilizados por essas opiniões. © 2025 EFRAG Todos os direitos reservados.</t>
  </si>
  <si>
    <t>EFRAG está financiado por la Unión Europea a través del Programa de Mercado Único en el que participan los países EEE-EFTA (Noruega, Islandia y Liechtenstein), así como Kosovo. Sin embargo, las opiniones y puntos de vista expresados son únicamente los del autor o autores y no reflejan necesariamente los de la Unión Europea, la Comisión Europea ni los de los países que participan en el Programa de Mercado Único. Ni la Unión Europea, ni la Comisión Europea ni los países participantes en el Programa de Mercado Único pueden ser considerados responsables de ellos. © 2025 EFRAG Todos los derechos reservados.</t>
  </si>
  <si>
    <t>template_label_reproduction_and_use_rights_are_strictly_limited</t>
  </si>
  <si>
    <t>Reproduction and use rights are strictly limited. For further details please contact efragsecretariat@efrag.org</t>
  </si>
  <si>
    <t xml:space="preserve">Reprodukcijos ir naudojimo teisės yra griežtai ribotos. Dėl išsamesnės informacijos kreipkitės el. paštu efragsecretariat@efrag.org
</t>
  </si>
  <si>
    <t>Prawa do powielania i wykorzystywania są ściśle ograniczone. W celu uzyskania dalszych informacji prosimy o kontakt pod adresem efragsecretariat@efrag.org.</t>
  </si>
  <si>
    <t xml:space="preserve">"Os direitos de reprodução e utilização são estritamente limitados. Para mais informações, contacte efragsecretariat@efrag.org" 
</t>
  </si>
  <si>
    <t xml:space="preserve">Los derechos de reproducción y uso están estrictamente limitados. Para más detalles, por favor contacte a efragsecretariat@efrag.org
</t>
  </si>
  <si>
    <t>template_label_overall_validation_status_validation</t>
  </si>
  <si>
    <t>Overall Validation Status</t>
  </si>
  <si>
    <t>Bendras patikrinimo statusas</t>
  </si>
  <si>
    <t>Ogólny status walidacji</t>
  </si>
  <si>
    <t>Estado Global da Validação</t>
  </si>
  <si>
    <t>Estado general de validación</t>
  </si>
  <si>
    <t>template_label_table_of_contents_validation</t>
  </si>
  <si>
    <t>template_label_contents_grouping_follows_templates_framework_validation</t>
  </si>
  <si>
    <t>Contents grouping follows template's framework</t>
  </si>
  <si>
    <t>Turinio grupavimas atitinka šablono struktūrą</t>
  </si>
  <si>
    <t>Grupowanie treści jest zgodne ze strukturą szablonu</t>
  </si>
  <si>
    <t>Agrupamento de conteúdos segue a estrutura do modelo</t>
  </si>
  <si>
    <t>La agrupación de contenidos sigue el marco del modelo</t>
  </si>
  <si>
    <t>template_label_specific_content_validation_status_validation</t>
  </si>
  <si>
    <t>Specific Content Validation Status</t>
  </si>
  <si>
    <t>Specifinė turinio tikrinimo būsena</t>
  </si>
  <si>
    <t>Status walidacji konkretnej treści</t>
  </si>
  <si>
    <t>Estado de Validação de Conteúdo Específico</t>
  </si>
  <si>
    <t>Estado de Validación de Contenido Específico</t>
  </si>
  <si>
    <t>template_label_general_information_validation</t>
  </si>
  <si>
    <t>General Information</t>
  </si>
  <si>
    <t>Bendroji informacija</t>
  </si>
  <si>
    <t>Informacje ogólne</t>
  </si>
  <si>
    <t xml:space="preserve">Informação Geral
</t>
  </si>
  <si>
    <t>Información general</t>
  </si>
  <si>
    <t>template_label_information_on_the_report_necessary_for_xbrl_validation</t>
  </si>
  <si>
    <t>· Information on the report necessary for  XBRL</t>
  </si>
  <si>
    <t>· Informacija apie ataskaitą, reikalinga XBRL</t>
  </si>
  <si>
    <t>Informacje o sprawozdaniu niezbędne dla XBRL</t>
  </si>
  <si>
    <t>· Informações no relatório necessárias para XBRL</t>
  </si>
  <si>
    <t>· Información del informe necesaria para XBRL</t>
  </si>
  <si>
    <t>template_label_information_on_previous_reporting_period_validation</t>
  </si>
  <si>
    <t>· Information on previous reporting period</t>
  </si>
  <si>
    <t>· Informacija apie ankstesnį ataskaitinį laikotarpį</t>
  </si>
  <si>
    <t>Informacje o poprzednim okresie sprawozdawczym</t>
  </si>
  <si>
    <t>· Informação sobre o período de reporte anterior</t>
  </si>
  <si>
    <t>Información sobre el periodo de reporte anterior</t>
  </si>
  <si>
    <t>template_label_basic_module_validation</t>
  </si>
  <si>
    <t>template_label_b1_basis_for_preparation_validation</t>
  </si>
  <si>
    <t>· B1 - Basis for Preparation</t>
  </si>
  <si>
    <t>B1. Ataskaitos rengimo pagrindas</t>
  </si>
  <si>
    <t>B1 – Podstawa sporządzenia</t>
  </si>
  <si>
    <t>· B1 — Base para a elaboração</t>
  </si>
  <si>
    <t>B1 – Base para la elaboración</t>
  </si>
  <si>
    <t>template_label_basis_for_preparation_and_other_undertakings_general_information_validation</t>
  </si>
  <si>
    <t>Basis for Preparation and other undertaking's general information</t>
  </si>
  <si>
    <t>Parengimo pagrindas ir kita įmonės bendroji infromacija</t>
  </si>
  <si>
    <t>Podstawa sporządzenia i inne ogólne informacje jednostce</t>
  </si>
  <si>
    <t>Base para a elaboração e informações gerais da empresa</t>
  </si>
  <si>
    <t>Base para la preparación e información general de la otra empresa</t>
  </si>
  <si>
    <t>template_label_list_of_subsidiaries_validation</t>
  </si>
  <si>
    <t>List of subsidiaries</t>
  </si>
  <si>
    <t>Dukterinių įmonių sąrašas</t>
  </si>
  <si>
    <t>Lista jednostek zależnych</t>
  </si>
  <si>
    <t>Listas das subsidiárias</t>
  </si>
  <si>
    <t>Relación de filiales</t>
  </si>
  <si>
    <t>template_label_disclosure_of_sustainability_related_certifications_or_labels_validation</t>
  </si>
  <si>
    <t>Disclosure of sustainability-related certification(s) or label(s)</t>
  </si>
  <si>
    <t>Tvarumo sertifikatų ir (ar) ženklų atskleidimas</t>
  </si>
  <si>
    <t>Ujawnienie certyfikatów lub oznaczeń związanych ze zrównoważonym rozwojem</t>
  </si>
  <si>
    <t>Divulgação de certificação(s) ou selo(s) relacionado(s) com a sustentabilidade</t>
  </si>
  <si>
    <t>Divulgación de la(s) certificación(es) o etiqueta(s) relacionada(s) con la sostenibilidad</t>
  </si>
  <si>
    <t>template_label_list_of_sites_validation</t>
  </si>
  <si>
    <t>List of site(s)</t>
  </si>
  <si>
    <t>Vietų (objektų) sąrašas</t>
  </si>
  <si>
    <t>Lista lokalizacji</t>
  </si>
  <si>
    <t>Lista de locais</t>
  </si>
  <si>
    <t>Lista de sitio(s)</t>
  </si>
  <si>
    <t>template_label_b2_practices_policies_and_future_initiatives_for_transitioning_towards_a_more_sustainable_economy_validation</t>
  </si>
  <si>
    <t>· B2 - Practices, policies and future initiatives for transitioning towards a more sustainable economy</t>
  </si>
  <si>
    <t>Praktikos, politikos ir būsimos iniciatyvos pereinant prie tvaresnės ekonomikos</t>
  </si>
  <si>
    <t>B2 – Praktyki, polityki i przyszłe inicjatywy na rzecz przejścia na bardziej zrównoważoną gospodarkę</t>
  </si>
  <si>
    <t>· B2 — Práticas, políticas e iniciativas futuras para a transição para uma economia mais sustentável</t>
  </si>
  <si>
    <t>B2 – Prácticas, políticas e iniciativas futuras para la transición hacia una economía más sostenible</t>
  </si>
  <si>
    <t>template_label_practices_policies_and_future_initiatives_for_transitioning_towards_a_more_sustainable_economy_validation</t>
  </si>
  <si>
    <t>Practices, policies and future initiatives for transitioning towards a more sustainable economy</t>
  </si>
  <si>
    <t>Praktyki, polityki i przyszłe inicjatywy na rzecz przejścia na bardziej zrównoważoną gospodarkę</t>
  </si>
  <si>
    <t>Práticas, políticas e iniciativas futuras para a transição para uma economia mais sustentável</t>
  </si>
  <si>
    <t>Prácticas, políticas e iniciativas futuras para la transición hacia una economía más sostenible</t>
  </si>
  <si>
    <t>template_label_cooperative_specific_disclosures_validation</t>
  </si>
  <si>
    <t>Cooperative specific disclosures</t>
  </si>
  <si>
    <t>Kooperatyvams būdingi atskleidimai</t>
  </si>
  <si>
    <t>Ujawnienia specyficzne dla spółdzielni</t>
  </si>
  <si>
    <t>Divulgações específicas das cooperativas</t>
  </si>
  <si>
    <t>Divulgaciones específicas de cooperativas</t>
  </si>
  <si>
    <t>template_label_environmental_disclosures_validation</t>
  </si>
  <si>
    <t>Environmental Disclosures</t>
  </si>
  <si>
    <t>Aplinkosaugos atskleidimai</t>
  </si>
  <si>
    <t>Ujawnienia środowiskowe</t>
  </si>
  <si>
    <t>Divulgações Ambientais</t>
  </si>
  <si>
    <t>Divulgaciones Ambientales</t>
  </si>
  <si>
    <t>template_label_b3_energy_and_greenhouse_gas_emissions_validation</t>
  </si>
  <si>
    <t>· B3 - Energy and greenhouse gas emissions</t>
  </si>
  <si>
    <t>· B3 – Energija ir šiltnamio efektą sukeliančios dujos</t>
  </si>
  <si>
    <t>B3 – Energia i emisje gazów cieplarnianych</t>
  </si>
  <si>
    <t>· B3 — Energia e emissões de gases com efeito de estufa</t>
  </si>
  <si>
    <t>B3 - Energía y emisiones de gases de efecto invernadero</t>
  </si>
  <si>
    <t>template_label_total_energy_consumption_in_mwh_validation</t>
  </si>
  <si>
    <t>Total Energy Consumption (in MWh)</t>
  </si>
  <si>
    <t>Bendras energijos suvartojimas (MWh)</t>
  </si>
  <si>
    <t>Całkowite zużycie energii (w MWh)</t>
  </si>
  <si>
    <t>Consumo Total de Energia (em MWh)</t>
  </si>
  <si>
    <t>Consumo total de energía (en MWh)</t>
  </si>
  <si>
    <t>template_label_breakdown_of_energy_consumption_in_mwh_validation</t>
  </si>
  <si>
    <t>Breakdown of energy consumption (in MWh)</t>
  </si>
  <si>
    <t>Energijos suvartojimo pasiskirstymas (MWh)</t>
  </si>
  <si>
    <t>Podział zużycia energii (w MWh)</t>
  </si>
  <si>
    <t>Desagregação do consumo de energia (em MWh)</t>
  </si>
  <si>
    <t>Desglose del consumo de energía (en MWh)</t>
  </si>
  <si>
    <t>template_label_estimated_greenhouse_gas_emissions_considering_the_ghg_protocol_version_2004_in_tco2e_validation</t>
  </si>
  <si>
    <t>Estimated Greenhouse Gas Emissions considering the GHG Protocol Version 2004 (in tCO2e)</t>
  </si>
  <si>
    <t>Įvertintas šiltnamio efektą sukeliančių dujų kiekis, atsižvelgiant į ŠESD protokolą, 2004 m. redakcija (t CO2e)</t>
  </si>
  <si>
    <t>Szacunkowa emisja gazów cieplarnianych z uwzględnieniem wymogów GHG Protocol Corporate Standard w wersji z 2004 r. (w tCO2e)</t>
  </si>
  <si>
    <t>Emissões brutas estimadas de gases com efeito de estufa tendo em consideração o Protocolo GEE Versão 2004 (em teCO2)</t>
  </si>
  <si>
    <t>Emisiones brutas estimadas de gases de efecto invernadero considerando el Protocolo GHG versión 2004 (en tCO2e)</t>
  </si>
  <si>
    <t>template_label_greenhouse_gas_emission_intensity_per_turnover_validation</t>
  </si>
  <si>
    <t>Greenhouse gas emission intensity per turnover</t>
  </si>
  <si>
    <t>Šiltnamio efektą sukeliančių dujų emisijų intensyvumas pagal apyvartą</t>
  </si>
  <si>
    <t>Intensywność emisji gazów cieplarnianych na jednostkę obrotu</t>
  </si>
  <si>
    <t>Intensidade das emissões de gases com efeito de estufa por volume de negócios</t>
  </si>
  <si>
    <t>Intensidad de emisión de gases de efecto invernadero por volumen de negocios</t>
  </si>
  <si>
    <t>template_label_b4_pollution_of_air_water_and_soil_validation</t>
  </si>
  <si>
    <t>· B4 - Pollution of air, water and soil</t>
  </si>
  <si>
    <t>B4. Oro, vandens ir dirvožemio tarša</t>
  </si>
  <si>
    <t>B4 – Zanieczyszczenie powietrza, wody i gleby</t>
  </si>
  <si>
    <t>· B4 — Poluição do ar, da água e do solo</t>
  </si>
  <si>
    <t>B4 – Contaminación de la atmósfera, del agua y del suelo</t>
  </si>
  <si>
    <t>template_label_b5_biodiversity_validation</t>
  </si>
  <si>
    <t>· B5 - Biodiversity</t>
  </si>
  <si>
    <t xml:space="preserve">B5. Biologinė įvairovė
</t>
  </si>
  <si>
    <t>B5 – Bioróżnorodność</t>
  </si>
  <si>
    <t>· B5 — Biodiversidade</t>
  </si>
  <si>
    <t>B5 – Biodiversidad</t>
  </si>
  <si>
    <t>template_label_sites_in_biodiversity_sensitive_areas_validation</t>
  </si>
  <si>
    <t>Sites in biodiversity sensitive areas</t>
  </si>
  <si>
    <t>Objektai biologinei įvairovei jautriose teritorijose</t>
  </si>
  <si>
    <t>Lokalizacje na obszarach wrażliwych pod względem bioróżnorodności</t>
  </si>
  <si>
    <t>Locais em zonas sensíveis do ponto de vista da biodiversidade</t>
  </si>
  <si>
    <t>Sitios en zonas sensibles para la biodiversidad</t>
  </si>
  <si>
    <t>template_label_biodiversity_land_use_validation</t>
  </si>
  <si>
    <t>Biodiversity - Land-use</t>
  </si>
  <si>
    <t>Biologinė įvairovė – žemės sunaudojimas</t>
  </si>
  <si>
    <t>Bioróżnorodność - użytkowanie gruntów</t>
  </si>
  <si>
    <t>Biodiversidade - Uso do solo</t>
  </si>
  <si>
    <t>Biodiversidad - Uso de la tierra</t>
  </si>
  <si>
    <t>template_label_b6_water_validation</t>
  </si>
  <si>
    <t>· B6 - Water</t>
  </si>
  <si>
    <t>B6 – Vanduo</t>
  </si>
  <si>
    <t>B6 – Woda</t>
  </si>
  <si>
    <t>· B6 – Água</t>
  </si>
  <si>
    <t>B6 – Agua</t>
  </si>
  <si>
    <t>template_label_water_withdrawal_validation</t>
  </si>
  <si>
    <t>Water Withdrawal</t>
  </si>
  <si>
    <t>Vandens išgavimas</t>
  </si>
  <si>
    <t>Pobór wody</t>
  </si>
  <si>
    <t>Captação de água</t>
  </si>
  <si>
    <t>Extracción de agua</t>
  </si>
  <si>
    <t>template_label_water_consumption_validation</t>
  </si>
  <si>
    <t>Water Consumption</t>
  </si>
  <si>
    <t>Vandens suvartojimas</t>
  </si>
  <si>
    <t>Zużycie wody</t>
  </si>
  <si>
    <t>Consumo de Água</t>
  </si>
  <si>
    <t>Consumo de agua</t>
  </si>
  <si>
    <t>template_label_b7_resource_use_circular_economy_and_waste_management_validation</t>
  </si>
  <si>
    <t>· B7 - Resource use, circular economy and waste management</t>
  </si>
  <si>
    <t>· B7 - Išteklių naudojimas, žiedinė ekonomika ir atliekų tvarkymas</t>
  </si>
  <si>
    <t>B7 – Wykorzystanie zasobów, gospodarka o obiegu zamkniętym i gospodarowanie odpadami</t>
  </si>
  <si>
    <r>
      <rPr>
        <b/>
        <sz val="11"/>
        <color theme="1"/>
        <rFont val="Aptos Narrow"/>
        <family val="2"/>
        <scheme val="minor"/>
      </rPr>
      <t xml:space="preserve">· </t>
    </r>
    <r>
      <rPr>
        <sz val="11"/>
        <color theme="1"/>
        <rFont val="Aptos Narrow"/>
        <family val="2"/>
        <scheme val="minor"/>
      </rPr>
      <t>B7 - Utilização dos recursos, economia circular e gestão de resíduos</t>
    </r>
  </si>
  <si>
    <t>· B7 - Uso de los recursos, economía circular y gestión de residuos</t>
  </si>
  <si>
    <t>template_label_description_of_circular_economy_principles_validation</t>
  </si>
  <si>
    <t>Description of circular economy principles</t>
  </si>
  <si>
    <t>Žiedinės ekonomikos principų aprašymas</t>
  </si>
  <si>
    <t>Descrição dos princípios da economia circular</t>
  </si>
  <si>
    <t>Descripción de los principios de la economía circular</t>
  </si>
  <si>
    <t>template_label_waste_generated_validation</t>
  </si>
  <si>
    <t>Waste generated</t>
  </si>
  <si>
    <t>Susidariusios atliekos</t>
  </si>
  <si>
    <t>Odpady wytworzone</t>
  </si>
  <si>
    <t>Desperdício gerado</t>
  </si>
  <si>
    <t>Residuos generados</t>
  </si>
  <si>
    <t>template_label_annual_mass_flow_of_relevant_materials_used_validation</t>
  </si>
  <si>
    <t>Annual mass-flow of relevant materials used</t>
  </si>
  <si>
    <t>Metinis reikšmingų naudojamų medžiagų sunaudojimas</t>
  </si>
  <si>
    <t>Roczny przepływ masowy istotnych wykorzystywanych materiałów</t>
  </si>
  <si>
    <t>Fluxo mássico anual dos materiais relevantes utilizados</t>
  </si>
  <si>
    <t>Flujo de masa anual de materiales pertinentes utilizados</t>
  </si>
  <si>
    <t>template_label_social_disclosures_validation</t>
  </si>
  <si>
    <t>Social Disclosures</t>
  </si>
  <si>
    <t>Socialinių rodiklių atskleidimai</t>
  </si>
  <si>
    <t>Ujawnienia społeczne</t>
  </si>
  <si>
    <t>Divulgações Sociais</t>
  </si>
  <si>
    <t>Divulgaciones Sociales</t>
  </si>
  <si>
    <t>template_label_b8_workforce_general_characteristics_validation</t>
  </si>
  <si>
    <t>· B8 - Workforce - General characteristics</t>
  </si>
  <si>
    <t>B8 - Darbuotojai - Bendrieji rodikliai</t>
  </si>
  <si>
    <t>B8 – Zasoby pracownicze – Charakterystyka ogólna</t>
  </si>
  <si>
    <t>· B8 – Força de trabalho – Características gerais</t>
  </si>
  <si>
    <t>B8 – Trabajadores – Características generales</t>
  </si>
  <si>
    <t>template_label_type_of_contract_validation</t>
  </si>
  <si>
    <t>Type of contract</t>
  </si>
  <si>
    <t>Sutarties tipas</t>
  </si>
  <si>
    <t>Rodzaj umowy</t>
  </si>
  <si>
    <t>Tipo de contrato</t>
  </si>
  <si>
    <t>template_label_gender_validation</t>
  </si>
  <si>
    <t>Gender</t>
  </si>
  <si>
    <t>Lytis</t>
  </si>
  <si>
    <t>Płeć</t>
  </si>
  <si>
    <t>Género</t>
  </si>
  <si>
    <t>template_label_country_of_employment_validation</t>
  </si>
  <si>
    <t>Country of employment</t>
  </si>
  <si>
    <t>Šalis, kurioje dirbama</t>
  </si>
  <si>
    <t>Kraj zatrudnienia</t>
  </si>
  <si>
    <t>País de emprego</t>
  </si>
  <si>
    <t>País de empleo</t>
  </si>
  <si>
    <t>template_label_turnover_rate_validation</t>
  </si>
  <si>
    <t>Turnover rate</t>
  </si>
  <si>
    <t>Apyvartos rodiklis</t>
  </si>
  <si>
    <t>Wskaźnik rotacji</t>
  </si>
  <si>
    <t>Taxa de rotatividade</t>
  </si>
  <si>
    <t>Tasa de rotación</t>
  </si>
  <si>
    <t>template_label_b9_workforce_health_and_safety_validation</t>
  </si>
  <si>
    <t>· B9 - Workforce – Health and safety</t>
  </si>
  <si>
    <t>B9 - Darbuotojai - Sveikata ir sauga</t>
  </si>
  <si>
    <t>B9 - Zasoby pracownicze – Bezpieczeństwo i higiena pracy</t>
  </si>
  <si>
    <t>· B9 — Mão-de-obra — Saúde e segurança</t>
  </si>
  <si>
    <t>B9 – Trabajadores – Salud y seguridad</t>
  </si>
  <si>
    <t>template_label_b10_workforce_remuneration_collective_bargaining_and_training_validation</t>
  </si>
  <si>
    <t>· B10 - Workforce – Remuneration, collective bargaining and training</t>
  </si>
  <si>
    <t>B10 - Darbuotojai – Atlyginimas, kolektyvinės derybos ir mokymai</t>
  </si>
  <si>
    <t>B10 – Zasoby pracownicze – wynagrodzenie, rokowania zbiorowe i szkolenia</t>
  </si>
  <si>
    <t>· B10 - Mão-de-obra – Remuneração, negociação coletiva e formação</t>
  </si>
  <si>
    <t>B10 – Trabajadores – Retribución, negociación colectiva y formación</t>
  </si>
  <si>
    <t>template_label_governance_disclosures_validation</t>
  </si>
  <si>
    <t>Governance Disclosures</t>
  </si>
  <si>
    <t>Valdysenos rodiklių atskleidimai</t>
  </si>
  <si>
    <t>Ujawnienia odnoszące się do ładu korporacyjnego</t>
  </si>
  <si>
    <t>Divulgações de Governança</t>
  </si>
  <si>
    <t>Información sobre Gobernanza</t>
  </si>
  <si>
    <t>template_label_b11_convictions_and_fines_for_corruption_and_bribery_validation</t>
  </si>
  <si>
    <t>· B11 - Convictions and fines for corruption and bribery</t>
  </si>
  <si>
    <t>B11 - Nuosprendžiai ir baudos už korupciją ir kyšininkavimą</t>
  </si>
  <si>
    <t>B11 – Wyroki skazujące i grzywny za naruszenie przepisów antykorupcyjnych i przepisów w sprawie zwalczania przekupstwa</t>
  </si>
  <si>
    <t>· B11 — Condenações e multas por corrupção e suborno</t>
  </si>
  <si>
    <t>B11 – Condenas y multas por corrupción y soborno</t>
  </si>
  <si>
    <t>template_label_comprehensive_module_validation</t>
  </si>
  <si>
    <t>IŠSAMUSIS MODULIS</t>
  </si>
  <si>
    <t>Módulo abrangente</t>
  </si>
  <si>
    <t>template_label_c1_strategy_business_model_and_sustainability_related_initiatives_validation</t>
  </si>
  <si>
    <t>· C1 - Strategy: Business Model and Sustainability – Related Initiatives</t>
  </si>
  <si>
    <t>C1. Strategija: verslo modelis ir su tvarumu susijusios iniciatyvos</t>
  </si>
  <si>
    <t>C1 – Strategia: model biznesowy i zrównoważony rozwój – powiązane inicjatywy</t>
  </si>
  <si>
    <t>· C1 - Estratégia: Modelo de negócio e sustentabilidade — Iniciativas conexas</t>
  </si>
  <si>
    <t>· C1 – Estrategia: modelo de negocio y sostenibilidad – Iniciativas relacionadas</t>
  </si>
  <si>
    <t>template_label_c2_description_of_practices_policies_and_future_initiatives_for_transitioning_towards_a_more_sustainable_economy_validation</t>
  </si>
  <si>
    <t>· C2 - Description of practices, policies and future initiatives for transitioning towards a more sustainable economy</t>
  </si>
  <si>
    <t>C2. Perėjimo prie tvaresnės ekonomikos praktikų, politikos ir būsimų iniciatyvų aprašymas</t>
  </si>
  <si>
    <t>C2 – Opis praktyk, polityk i przyszłych inicjatyw na rzecz przejścia na bardziej zrównoważoną gospodarkę</t>
  </si>
  <si>
    <t>· C2 - Descrição das práticas, políticas e iniciativas futuras para a transição para uma economia mais sustentável</t>
  </si>
  <si>
    <t>· C2 – Descripción de las prácticas, políticas e iniciativas futuras para la transición hacia una economía más sostenible</t>
  </si>
  <si>
    <t>template_label_c3_ghg_reduction_targets_and_climate_transition_validation</t>
  </si>
  <si>
    <t>· C3 - GHG reduction targets and climate transition</t>
  </si>
  <si>
    <t>C3 – ŠESD emisijų mažinimo tikslai ir klimato perėjimo planas</t>
  </si>
  <si>
    <t>C3 – Cele redukcji emisji gazów cieplarnianych i transformacja klimatyczna</t>
  </si>
  <si>
    <t>· C3 - Objetivos de redução de GEE e transição climática</t>
  </si>
  <si>
    <t>· C3 - Metas de reducción de GEI y transición climática</t>
  </si>
  <si>
    <t>template_label_ghg_reduction_targets_in_tc02e_validation</t>
  </si>
  <si>
    <t>GHG reduction targets (in tC02e)</t>
  </si>
  <si>
    <t>ŠESD mažinimo tikslai (tCO2e)</t>
  </si>
  <si>
    <t>Cele redukcji emisji gazów cieplarnianych (w tCO2e)</t>
  </si>
  <si>
    <t xml:space="preserve">Objetivos de redução de emissões de GEE (em tCO2₂e)
</t>
  </si>
  <si>
    <t>Objetivos de reducción de GEI (en tCO2e)</t>
  </si>
  <si>
    <t>template_label_disclosure_of_list_of_main_actions_the_entity_seeks_in_order_to_achieve_its_targets_validation</t>
  </si>
  <si>
    <t>Disclosure of list of main actions the entity seeks in order  to achieve its targets</t>
  </si>
  <si>
    <t xml:space="preserve">Ataskaita apie pagrindinių priemonių sąrašą, kurias įmonė siekia įgyvendinti norėdama pasiekti savo tikslus
</t>
  </si>
  <si>
    <t>Lista głównych działań, które jednostka zamierza wdrożyć, aby osiągnąć swoje cele</t>
  </si>
  <si>
    <t>Divulgação de lista com as principais ações que a entidade pretende executar para atingir os seus objetivos</t>
  </si>
  <si>
    <t>Divulgación de la lista de acciones principales que la entidad busca implementar para alcanzar sus objetivos</t>
  </si>
  <si>
    <t>template_label_transition_plan_for_undertakings_operating_in_high_climate_impact_sectors_validation</t>
  </si>
  <si>
    <t>Transition plan for undertakings operating in high climate impact sectors</t>
  </si>
  <si>
    <t>Perėjimo planas įmonėms, veikiančioms sektoriuose, kurių poveikis klimatui yra didelis</t>
  </si>
  <si>
    <t>Plan transformacji dla jednostek prowadzących działalność w sektorach o znacznym oddziaływaniu na klimat</t>
  </si>
  <si>
    <t>Plano de transição para empresas que operam em setores de elevado impacto climático</t>
  </si>
  <si>
    <t>Plan de transición para empresas que operan en sectores de alto impacto climático</t>
  </si>
  <si>
    <t>template_label_c4_climate_risks_validation</t>
  </si>
  <si>
    <t>· C4 - Climate risks</t>
  </si>
  <si>
    <t>C4 – Klimato rizikos</t>
  </si>
  <si>
    <t>C4 – Ryzyka związane z klimatem</t>
  </si>
  <si>
    <t>· C4 – Riscos climáticos</t>
  </si>
  <si>
    <t>· C4 - Riesgos climáticos</t>
  </si>
  <si>
    <t>template_label_c5_additional_general_workforce_characteristics_validation</t>
  </si>
  <si>
    <t>· C5 - Additional (general) workforce characteristics</t>
  </si>
  <si>
    <t>· C5 - Papildomi (bendrieji) darbuotojų rodikliai</t>
  </si>
  <si>
    <t>C5 – Dodatkowa (ogólna) charakterystyka pracowników</t>
  </si>
  <si>
    <t>· C5 - Características adicionais (gerais) da mão-de-obra</t>
  </si>
  <si>
    <t>C5 – Características (generales) adicionales de los trabajadores</t>
  </si>
  <si>
    <t>template_label_c6_additional_own_workforce_information_human_rights_policies_and_processes_validation</t>
  </si>
  <si>
    <t>· C6 - Additional own workforce information - Human rights policies and processes</t>
  </si>
  <si>
    <t>C6 - Papildoma darbuotojų informacija - Žmogaus teisių politika ir procesai</t>
  </si>
  <si>
    <t>C6 – Dodatkowe informacje dotyczące własnych zasobów pracowniczych – polityki i procesy dotyczące praw człowieka</t>
  </si>
  <si>
    <t xml:space="preserve">C6 — Informações adicionais sobre a própria mão-de-obra — Políticas e processos em matéria de direitos humanos
  </t>
  </si>
  <si>
    <t>C6 – Información adicional sobre el personal propio – Políticas y procesos en materia de derechos humanos</t>
  </si>
  <si>
    <t>template_label_c7_severe_negative_human_rights_incidents_validation</t>
  </si>
  <si>
    <t>· C7 - Severe negative human rights incidents</t>
  </si>
  <si>
    <t>C7 - Dideli neigiami incidentai žmogaus teisių srityje</t>
  </si>
  <si>
    <t>C7 – Poważne incydenty dotyczące praw człowieka</t>
  </si>
  <si>
    <t>· C7 - Incidentes negativos graves em matéria de direitos humanos</t>
  </si>
  <si>
    <t>· C7 - Incidentes graves negativos de derechos humanos</t>
  </si>
  <si>
    <t>template_label_c8_revenues_from_certain_sectors_and_exclusion_from_eu_reference_benchmarks_validation</t>
  </si>
  <si>
    <t>· C8 - Revenues from certain activities and exclusion from EU reference benchmarks</t>
  </si>
  <si>
    <t>C8 – Pajamos iš tam tikrų veiklų ir neįtraukimai į ES lyginamuosius etalonus</t>
  </si>
  <si>
    <t>C8 – Przychody z niektórych rodzajów działalności i wykluczenie z unijnych wskaźników referencyjnych</t>
  </si>
  <si>
    <t>· C8 – Rédito de determinadas atividades e exclusão dos índices de referência da UE</t>
  </si>
  <si>
    <t>C8 – Ingresos de determinadas actividades y exclusión de los índices de referencia de la UE</t>
  </si>
  <si>
    <t>template_label_revenues_from_certain_sectors_validation</t>
  </si>
  <si>
    <t>Revenues from certain activities</t>
  </si>
  <si>
    <t>Pajamos iš tam tikrų veiklų</t>
  </si>
  <si>
    <t>Przychody z niektórych rodzajów działalności</t>
  </si>
  <si>
    <t>Rédito de determinadas atividades</t>
  </si>
  <si>
    <t>Ingresos de determinadas actividades</t>
  </si>
  <si>
    <t>template_label_exclusion_from_eu_reference_benchmarks_validation</t>
  </si>
  <si>
    <t>Exclusion from EU reference benchmarks</t>
  </si>
  <si>
    <t>Neįtraukimai į ES lyginamuosius etalonus</t>
  </si>
  <si>
    <t>Wykluczenie z unijnych wskaźników referencyjnych</t>
  </si>
  <si>
    <t>Exclusão dos índices de referência da UE</t>
  </si>
  <si>
    <t>Exclusión de los índices de referencia de la UE</t>
  </si>
  <si>
    <t>template_label_c9_gender_diversity_ratio_in_the_governance_body_validation</t>
  </si>
  <si>
    <t>· C9 - Gender diversity ratio in the governance body</t>
  </si>
  <si>
    <t>C9 - Lyčių įvairovės rodiklis valdymo organe</t>
  </si>
  <si>
    <t>C9 - Wskaźnik zróżnicowania organu zarządzającego pod względem płci</t>
  </si>
  <si>
    <t>· C9 - Rácio de diversidade de género no órgão de governação</t>
  </si>
  <si>
    <t>C9 – Índice de diversidad de género en el órgano de gobierno</t>
  </si>
  <si>
    <t>template_label_additional_disclosures_validation</t>
  </si>
  <si>
    <t>Additional Disclosures</t>
  </si>
  <si>
    <t>Papildomi atskleidimai</t>
  </si>
  <si>
    <t>Dodatkowe ujawnienia</t>
  </si>
  <si>
    <t>Divulgações Adicionais</t>
  </si>
  <si>
    <t>Divulgaciones adicionales</t>
  </si>
  <si>
    <t>template_label_disclosure_of_any_other_general_and_or_entity_specific_information_on_the_reporting_period_validation</t>
  </si>
  <si>
    <t>· Disclosure of any other general and/or entity specific information on the reporting period</t>
  </si>
  <si>
    <t xml:space="preserve">· Ataskaitinio laikotarpio bet kokios kitos bendros ir/ar įmonės specifinės informacijos atskleidimas
</t>
  </si>
  <si>
    <t>Ujawnienie innych informacji ogólnych i/lub specyficznych dla jednostki dotyczących okresu sprawozdawczego</t>
  </si>
  <si>
    <t>Divulgação de quaisquer outras informações gerais e/ou específicas da entidade sobre o período de relato</t>
  </si>
  <si>
    <t>Divulgación de cualquier otra información general y/o específica de la entidad sobre el período de informe</t>
  </si>
  <si>
    <t>template_label_disclosure_of_any_other_environmental_and_or_entity_specific_environmental_disclosures_validation</t>
  </si>
  <si>
    <t>· Disclosure of any other environmental and/or entity specific environmental disclosures</t>
  </si>
  <si>
    <t>· Bet kokie kit aplinkosauginiai ir/ar įmonės specifiniai aplinkosauginiai atskleidimai</t>
  </si>
  <si>
    <t>Ujawnienie innych informacji środowiskowych i/lub informacji środowiskowych specyficznych dla jednostki</t>
  </si>
  <si>
    <t>Divulgação de quaisquer outras informações ambientais e/ou de informações ambientais específicas da entidade</t>
  </si>
  <si>
    <t>Divulgación de cualquier otra información ambiental y/o información ambiental específica de la entidad</t>
  </si>
  <si>
    <t>template_label_disclosure_of_any_other_social_and_or_entity_specific_social_disclosures_validation</t>
  </si>
  <si>
    <t>· Disclosure of any other social and/or entity specific social disclosures</t>
  </si>
  <si>
    <t>· Bet kokie kite socialiniai ir arba įmonei būdingi socialiniai atskleidimai</t>
  </si>
  <si>
    <t>Ujawnienie innych informacji społecznych i/lub informacji społecznych specyficznych dla jednostki</t>
  </si>
  <si>
    <t>Divulgação de quaisquer outras informações sociais e/ou de informações sociais específicas da entidade</t>
  </si>
  <si>
    <t>Divulgación de cualquier otra información social y/o información social específica de la entidad</t>
  </si>
  <si>
    <t>template_label_disclosure_of_any_other_governance_and_or_entity_specific_governance_disclosures_validation</t>
  </si>
  <si>
    <t>· Disclosure of any other governance and/or entity specific governance disclosures</t>
  </si>
  <si>
    <t>· Kiti valdysenos ir/ar įmonės specifiniai valdysenos atskleidimai</t>
  </si>
  <si>
    <t>Ujawnienie innych informacji odnoszących się do ładu korporacyjnego i/lub informacji odnoszących się do ładu korporacyjnego specyficznych dla jednostki</t>
  </si>
  <si>
    <t>Divulgação de quaisquer outras informações de governação e/ou de informações de governação específicas da entidade</t>
  </si>
  <si>
    <t>· Divulgación de cualquier otra información sobre gobernanza y/o información sobre gobernanza específica de la entidad</t>
  </si>
  <si>
    <t>template_label_paragraph_reference</t>
  </si>
  <si>
    <t>Pastraipos nuoroda</t>
  </si>
  <si>
    <t>Odniesienie do paragrafu</t>
  </si>
  <si>
    <t>Referência do parágrafo</t>
  </si>
  <si>
    <t>Referencia de párrafo</t>
  </si>
  <si>
    <t>template_label_paragraph_guidance_reference</t>
  </si>
  <si>
    <t>Gairių pastaipos nuoroda</t>
  </si>
  <si>
    <t>Odniesienie do wytycznych w paragrafie</t>
  </si>
  <si>
    <t>Referência de Orientação do Parágrafo</t>
  </si>
  <si>
    <t>Referencia al párrafo de la Guía</t>
  </si>
  <si>
    <t>template_label_from</t>
  </si>
  <si>
    <t>from</t>
  </si>
  <si>
    <t>iš</t>
  </si>
  <si>
    <t>z</t>
  </si>
  <si>
    <t>de</t>
  </si>
  <si>
    <t>template_label_to</t>
  </si>
  <si>
    <t>to</t>
  </si>
  <si>
    <t>į</t>
  </si>
  <si>
    <t>do</t>
  </si>
  <si>
    <t>para</t>
  </si>
  <si>
    <t>a</t>
  </si>
  <si>
    <t>template_label_at</t>
  </si>
  <si>
    <t>at</t>
  </si>
  <si>
    <t>Vietoje</t>
  </si>
  <si>
    <t>w</t>
  </si>
  <si>
    <t>em</t>
  </si>
  <si>
    <t>template_label_always_to_be_reported</t>
  </si>
  <si>
    <t>[Always to be reported]</t>
  </si>
  <si>
    <t>[Privaloma visada pateikti]</t>
  </si>
  <si>
    <t>[Zawsze do zgłoszenia]</t>
  </si>
  <si>
    <t>[Sempre a ser reportado]</t>
  </si>
  <si>
    <t>[Siempre debe informarse]</t>
  </si>
  <si>
    <t>template_label_if_applicable</t>
  </si>
  <si>
    <t>[If applicable]</t>
  </si>
  <si>
    <t>[Jei taikytina]</t>
  </si>
  <si>
    <t>[Jeśli dotyczy]</t>
  </si>
  <si>
    <t>[Se aplicável]</t>
  </si>
  <si>
    <t>[Si procede]</t>
  </si>
  <si>
    <t>template_label_may</t>
  </si>
  <si>
    <t>[May (optional)]</t>
  </si>
  <si>
    <t>[Gali būti pateikiama (neprivaloma)]</t>
  </si>
  <si>
    <t>[Może (opcjonalnie)]</t>
  </si>
  <si>
    <t>Pode ser (opcional)</t>
  </si>
  <si>
    <t>[Podrá (opcional)]</t>
  </si>
  <si>
    <t>template_label_may_not_headline</t>
  </si>
  <si>
    <t>May (optional)</t>
  </si>
  <si>
    <t>Gali būti pateikiama (neprivaloma)</t>
  </si>
  <si>
    <t>Może (opcjonalnie)</t>
  </si>
  <si>
    <t>Podrá (opcional)</t>
  </si>
  <si>
    <t>template_label_always_to_be_reported_if_applicable</t>
  </si>
  <si>
    <t>[Always to be reported + If applicable]</t>
  </si>
  <si>
    <t>[Privaloma visada pateikti + jei taikytina]</t>
  </si>
  <si>
    <t>[Zawsze do zgłoszenia + Jeśli dotyczy]</t>
  </si>
  <si>
    <t>Sempre a ser reportado + Se aplicável</t>
  </si>
  <si>
    <t>[Siempre debe informarse + Si procede]</t>
  </si>
  <si>
    <t>template_label_if_applicable_linked_to_b2</t>
  </si>
  <si>
    <t>[If applicable linked with B2]</t>
  </si>
  <si>
    <t>[Jei taikytina, susieta su B2]</t>
  </si>
  <si>
    <t>[Jeśli dotyczy, powiązane z B2]</t>
  </si>
  <si>
    <t>[Se aplicável, ligado ao B2]</t>
  </si>
  <si>
    <t>[Si procede, vinculado con B2]</t>
  </si>
  <si>
    <t>template_label_amount_in</t>
  </si>
  <si>
    <t>amount in</t>
  </si>
  <si>
    <t>kiekis/suma</t>
  </si>
  <si>
    <t>kwota w</t>
  </si>
  <si>
    <t>montante em</t>
  </si>
  <si>
    <t>importe en</t>
  </si>
  <si>
    <t>template_label_information_on_the_report_necessary_for_xbrl</t>
  </si>
  <si>
    <t>Information on the report necessary for  XBRL</t>
  </si>
  <si>
    <t>Informacija, reikalinga ataskaitai XBRL formatu</t>
  </si>
  <si>
    <t>Informacje dotyczące sprawozdania niezbędne dla XBRL</t>
  </si>
  <si>
    <t>Informações no relatório necessárias para XBRL</t>
  </si>
  <si>
    <t>Información sobre el informe necesaria para XBRL</t>
  </si>
  <si>
    <t>template_label_name_of_the_reporting_entity</t>
  </si>
  <si>
    <t>Name of the reporting entity</t>
  </si>
  <si>
    <t>Ataskaitą teikiančios įmonės pavadinimas</t>
  </si>
  <si>
    <t>Nazwa jednostki sporządzającej sprawozdanie</t>
  </si>
  <si>
    <t>Nome da entidade que reporta</t>
  </si>
  <si>
    <t>Nombre de la entidad informante</t>
  </si>
  <si>
    <t>template_label_identifier_of_the_reporting_entity</t>
  </si>
  <si>
    <t>Identifier of the reporting entity (select and specify on the right)</t>
  </si>
  <si>
    <t>Ataskaitą teikiančios įmonės identifikatorius (pasirinkti ir nurodyti dešinėje)</t>
  </si>
  <si>
    <t>Identyfikator jednostki sporządzającej sprawozdanie (wybierz i określ po prawej)</t>
  </si>
  <si>
    <t>Identificador da entidade que reporta (selecione e especifique à direita)</t>
  </si>
  <si>
    <t>Identificador de la entidad que presenta el informe (seleccione y especifique a la derecha)</t>
  </si>
  <si>
    <t>template_label_currency_of_the_monetary_values_in_the_report</t>
  </si>
  <si>
    <t>Currency of the monetary values in the report</t>
  </si>
  <si>
    <t>Ataskaitoje naudojama valiuta</t>
  </si>
  <si>
    <t>Waluta wartości pieniężnych w sprawozdaniu</t>
  </si>
  <si>
    <t>Moeda em que os valores monetários do relatório estão expressos</t>
  </si>
  <si>
    <t>Divisa de los valores monetarios en el informe</t>
  </si>
  <si>
    <t>template_label_starting_year</t>
  </si>
  <si>
    <t>Starting year</t>
  </si>
  <si>
    <t>Ataskaitiniai metai, prasidedantys (metai)</t>
  </si>
  <si>
    <t>Rok rozpoczęcia</t>
  </si>
  <si>
    <t>Ano de início</t>
  </si>
  <si>
    <t>Año de inicio</t>
  </si>
  <si>
    <t>template_label_starting_month</t>
  </si>
  <si>
    <t>Starting month</t>
  </si>
  <si>
    <t>Ataskaitiniai metai, prasidedantys (mėnuo)</t>
  </si>
  <si>
    <t>Miesiąc rozpoczęcia</t>
  </si>
  <si>
    <t>Mês de início</t>
  </si>
  <si>
    <t>Mes de inicio</t>
  </si>
  <si>
    <t>template_label_starting_day</t>
  </si>
  <si>
    <t>Starting day</t>
  </si>
  <si>
    <t>Ataskaitiniai metai, prasidedantys (diena)</t>
  </si>
  <si>
    <t>Dzień rozpoczęcia</t>
  </si>
  <si>
    <t>Dia de início</t>
  </si>
  <si>
    <t>Día de inicio</t>
  </si>
  <si>
    <t>template_label_reporting_period_start_date</t>
  </si>
  <si>
    <t>Reporting period start date (yyyy-mm-dd)</t>
  </si>
  <si>
    <t>Ataskaitinio laikotarpio pradžia (yyyy-mm-dd)</t>
  </si>
  <si>
    <t>Data rozpoczęcia okresu sprawozdawczego (rrrr-mm-dd)</t>
  </si>
  <si>
    <t>Data de início do período de reporte (aaaa-mm-dd)</t>
  </si>
  <si>
    <t>Fecha de inicio del período informado (aaaa-mm-dd)</t>
  </si>
  <si>
    <t>template_label_ending_year</t>
  </si>
  <si>
    <t>Ending year</t>
  </si>
  <si>
    <t>Ataskaitiniai metai, besibaigiantys (metai)</t>
  </si>
  <si>
    <t>Rok zakończenia</t>
  </si>
  <si>
    <t>Ano de término</t>
  </si>
  <si>
    <t>Año de finalización</t>
  </si>
  <si>
    <t>template_label_ending_month</t>
  </si>
  <si>
    <t>Ending month</t>
  </si>
  <si>
    <t>Ataskaitiniai metai, besibaigiantys (mėnuo)</t>
  </si>
  <si>
    <t>Miesiąc zakończenia</t>
  </si>
  <si>
    <t>Mês final</t>
  </si>
  <si>
    <t>Mes de finalización</t>
  </si>
  <si>
    <t>template_label_ending_day</t>
  </si>
  <si>
    <t>Ataskaitiniai metai, besibaigiantys (diena)</t>
  </si>
  <si>
    <t>Dzień zakończenia</t>
  </si>
  <si>
    <t>Dia final</t>
  </si>
  <si>
    <t>Día final</t>
  </si>
  <si>
    <t>template_label_reporting_period_end_date</t>
  </si>
  <si>
    <t>Reporting period end date  (yyyy-mm-dd)</t>
  </si>
  <si>
    <t>Ataskaitinio laikotarpio pabaiga (yyyy-mm-dd)</t>
  </si>
  <si>
    <t>Data zakończenia okresu sprawozdawczego (rrrr-mm-dd)</t>
  </si>
  <si>
    <t>Data final do período de reporte (aaaa-mm-dd)</t>
  </si>
  <si>
    <t>Fecha de finalización del período de reporte (aaaa-mm-dd)</t>
  </si>
  <si>
    <t>template_label_information_on_previous_reporting_period</t>
  </si>
  <si>
    <t>Information on previous reporting period</t>
  </si>
  <si>
    <t>Informacija apie ankstesnį ataskaitinį laikotarpį</t>
  </si>
  <si>
    <t>Informacje dotyczące poprzedniego okresu sprawozdawczego</t>
  </si>
  <si>
    <t>Informação sobre o período de reporte anterior</t>
  </si>
  <si>
    <t>template_label_disclosures_from_the_previous_reporting_period_that_remain_unchanged</t>
  </si>
  <si>
    <t>This report contains disclosures from the previous reporting period that remain unchanged</t>
  </si>
  <si>
    <t>Ši ataskaita įtraukia tuos ankstesnio ataskaitinio laikotarpio atskleidimus, kurie liko nepakitę</t>
  </si>
  <si>
    <t>Niniejsze sprawozdanie zawiera ujawnienia z poprzedniego okresu sprawozdawczego, które pozostają niezmienione</t>
  </si>
  <si>
    <t>Este relatório contém divulgações do período de relato anterior que permanecem inalteradas</t>
  </si>
  <si>
    <t>Este informe contiene divulgaciones del período de reporte anterior que permanecen sin cambios.</t>
  </si>
  <si>
    <t>template_label_disclosures_for_which_no_changes_are_reported_compared_to_the_previous_period_reporting</t>
  </si>
  <si>
    <t>List of disclosures for which no changes are reported compared to the previous period reporting</t>
  </si>
  <si>
    <t>Atskleidimų, dėl kurių nepateikta jokių pakeitimų, palyginti su ankstesnio laikotarpio ataskaita, sąrašas</t>
  </si>
  <si>
    <t>Lista ujawnień, dla których nie zgłoszono zmian w porównaniu z poprzednim okresem sprawozdawczym</t>
  </si>
  <si>
    <t>Lista de divulgações para as quais não se reportam alterações em relação ao período de relato anterior</t>
  </si>
  <si>
    <t>Lista de revelaciones para las cuales no se reportan cambios en comparación con el informe del período anterior</t>
  </si>
  <si>
    <t>template_label_link_to_previous_report_containing_disclosures_that_remain_unchanged</t>
  </si>
  <si>
    <t>Link to previous report containing disclosures that remain unchanged</t>
  </si>
  <si>
    <t>Nuoroda į ankstesnę ataskaitą, kurioje yra nepakitę atskleidimai</t>
  </si>
  <si>
    <t>Odnośnik do poprzedniego sprawozdania zawierającego ujawnienia, które pozostają niezmienione</t>
  </si>
  <si>
    <t>Ligação para o relatório anterior com as divulgações que permanecem inalteradas</t>
  </si>
  <si>
    <t>Enlace al informe anterior que contiene divulgaciones que permanecen sin cambios</t>
  </si>
  <si>
    <t>template_label_b1_basis_for_preparation_and_other_undertakings_general_information</t>
  </si>
  <si>
    <t>B1 - Basis for Preparation and other undertaking's general information</t>
  </si>
  <si>
    <t>B1 – Ataskaitos rengimo pagrindas ir kita įmonės bendroji informacija</t>
  </si>
  <si>
    <t>B1 – Podstawa sporządzenia i ogólne informacje o jednostce</t>
  </si>
  <si>
    <t>B1 - Base de preparação e outras informações gerais da entidade</t>
  </si>
  <si>
    <t>B1 - Base para la elaboración y otra información general del empresario</t>
  </si>
  <si>
    <t>template_label_basis_for_preparation</t>
  </si>
  <si>
    <t>Basis for preparation (Basic Module Only or Basic &amp; Comprehensive Module)</t>
  </si>
  <si>
    <t>Ataskaitos rengimo pagrindas (tik Bazinis modulis arba Bazinis ir Išsamusis modulis)</t>
  </si>
  <si>
    <t>Podstawa sporządzenia (tylko moduł podstawowy lub moduł podstawowy i kompleksowy)</t>
  </si>
  <si>
    <t>Base de preparação (apenas Módulo Básico ou Módulo Básico e Abrangente</t>
  </si>
  <si>
    <t>Base para la preparación (Solo Módulo Básico o Módulo Básico y Comprensivo)</t>
  </si>
  <si>
    <t>template_label_list_of_omitted_disclosures_deemed_to_be_classified_or_sensitive_information</t>
  </si>
  <si>
    <t>List of omitted disclosures deemed to be classified or sensitive information</t>
  </si>
  <si>
    <t>Nepateiktų atskleidimų, laikomų konfidencialia ar jautria informacija, sąrašas</t>
  </si>
  <si>
    <t>Lista ujawnień pominiętych uznanych za informacje zastrzeżone lub wrażliwe</t>
  </si>
  <si>
    <t>Lista de divulgações omitidas consideradas informação classificada ou sensível</t>
  </si>
  <si>
    <t>Lista de divulgaciones omitidas consideradas como información clasificada o sensible</t>
  </si>
  <si>
    <t>template_label_basis_for_reporting</t>
  </si>
  <si>
    <t>Basis for reporting (consolidated or individual basis)</t>
  </si>
  <si>
    <t>Atskaitomybės pagrindas (konsoliduota ar individuali)</t>
  </si>
  <si>
    <t>Podstawa sprawozdawczości (w ujęciu skonsolidowanym lub jednostkowym)</t>
  </si>
  <si>
    <t>Base de reporte (consolidada ou individual)</t>
  </si>
  <si>
    <t>Base para la presentación de informes (base consolidada o individual)</t>
  </si>
  <si>
    <t>template_label_undertakings_legal_form</t>
  </si>
  <si>
    <t>Undertakings legal form</t>
  </si>
  <si>
    <t>Įmonės teisinė forma</t>
  </si>
  <si>
    <t>Forma prawna jednostki</t>
  </si>
  <si>
    <t>Forma jurídica da empresa</t>
  </si>
  <si>
    <t>Forma jurídica de la entidad</t>
  </si>
  <si>
    <t>template_label_other_undertakings_legal_form_specification</t>
  </si>
  <si>
    <t>Other undertaking's legal form specification</t>
  </si>
  <si>
    <t>Kitos įmonės teisinės formos specifikacija</t>
  </si>
  <si>
    <t>Inna specyfikacja formy prawnej jednostki</t>
  </si>
  <si>
    <t>Especificação da forma jurídica de outra entidade</t>
  </si>
  <si>
    <t>Especificación de la forma jurídica de otra empresa</t>
  </si>
  <si>
    <t>template_label_nace_sector_classification_code</t>
  </si>
  <si>
    <t>NACE sector classification code(s)</t>
  </si>
  <si>
    <t>NACE sektoriaus klasifikacijos kodas(-ai)</t>
  </si>
  <si>
    <t>Kod(y) klasyfikacji sektorowej NACE</t>
  </si>
  <si>
    <t xml:space="preserve">Código(s) NACE de classificação setorial </t>
  </si>
  <si>
    <t>Códigos de clasificación sectorial NACE</t>
  </si>
  <si>
    <t>template_label_size_of_balance_sheet_in</t>
  </si>
  <si>
    <t>Size of balance sheet (total assets) in</t>
  </si>
  <si>
    <t>Balanso dydis (turtas iš viso), matavimo vienetai</t>
  </si>
  <si>
    <t>Wielkość bilansu (aktywa ogółem) w</t>
  </si>
  <si>
    <t>Valor do balanço (total de ativos) em</t>
  </si>
  <si>
    <t>Volumen del balance (total de activos) en</t>
  </si>
  <si>
    <t>template_label_turnover_in</t>
  </si>
  <si>
    <t>Turnover in</t>
  </si>
  <si>
    <t>Apyvarta (matavimo vienetai)</t>
  </si>
  <si>
    <t xml:space="preserve">Obrót w </t>
  </si>
  <si>
    <t>Volume de negócios em</t>
  </si>
  <si>
    <t>Volumen de negocios en</t>
  </si>
  <si>
    <t>template_label_number_of_employees</t>
  </si>
  <si>
    <t>Number of employees</t>
  </si>
  <si>
    <t>Darbuotojų skaičius</t>
  </si>
  <si>
    <t>Liczba pracowników</t>
  </si>
  <si>
    <t>Número de trabalhadores</t>
  </si>
  <si>
    <t>Número de asalariados</t>
  </si>
  <si>
    <t>template_label_employee_counting_methodology_end_of_reporting_period_or_average_during_the_reporting_period</t>
  </si>
  <si>
    <t>Employee counting methodology (At the end of reporting period or as an average during the reporting period)</t>
  </si>
  <si>
    <t>Darbuotojų skaičiavimo metodika (skaičiuojama ataskaitinio laikotarpio pabaigoje ar išvedamas vidurkis per ataskaitinį laikotarpį)</t>
  </si>
  <si>
    <t>Metodologia liczenia pracowników (na koniec okresu sprawozdawczego lub jako średnia w trakcie okresu sprawozdawczego)</t>
  </si>
  <si>
    <t>Metodologia de contagem de trabalhadores (No final do período de relato ou como média durante o período de relato)</t>
  </si>
  <si>
    <t>Metodología para el recuento de empleados (Al final del período de informe o como promedio durante el período de informe)</t>
  </si>
  <si>
    <t>template_label_employee_counting_methodology_headcount_or_fulltime_equivalent</t>
  </si>
  <si>
    <t>Employee counting methodology (Headcount or Full-time equivalent)</t>
  </si>
  <si>
    <t>Darbuotojų skaičiavimo metodika (faktinis darbuotojų skaičius arba viso etato ekvivalentas)</t>
  </si>
  <si>
    <t>Metodologia liczenia pracowników (liczba zatrudnionych lubliczba ekwiwalentów pełnego czasu pracy)</t>
  </si>
  <si>
    <t>Metodologia de contagem de trabalhadores (Número de efetivos ou Equivalente a tempo completo)</t>
  </si>
  <si>
    <t>Metodología para el recuento de empleados (Número de personas o equivalente a jornada completa)</t>
  </si>
  <si>
    <t>template_label_country_of_primary_operations_and_location_of_significant_asset</t>
  </si>
  <si>
    <t>Country of primary operations and location of significant asset(s)</t>
  </si>
  <si>
    <t>Šalis, kurioje vykdoma pagrindinė veikla ir reikšmingo turto buvimo vieta(-os)</t>
  </si>
  <si>
    <t>Kraj, w którym jednostka prowadzi główną działalność i w którym są zlokalizowane jej znaczące aktywa</t>
  </si>
  <si>
    <t>País das operações principais e localização do(s) ativo(s) significativo(s)</t>
  </si>
  <si>
    <t>País de las operaciones principales y ubicación del activo o activos significativos</t>
  </si>
  <si>
    <t>template_label_b1_list_of_subsidiaries</t>
  </si>
  <si>
    <t>B1 - List of subsidiaries</t>
  </si>
  <si>
    <t>B1 - Dukterinių įmonių sąrašas</t>
  </si>
  <si>
    <t>B1 – Lista jednostek zależnych</t>
  </si>
  <si>
    <t>B1 - Lista de subsidiárias</t>
  </si>
  <si>
    <t>B1 - Lista de filiales</t>
  </si>
  <si>
    <t>template_label_id</t>
  </si>
  <si>
    <t>ID</t>
  </si>
  <si>
    <t>template_label_name</t>
  </si>
  <si>
    <t>Name</t>
  </si>
  <si>
    <t>Pavadinimas</t>
  </si>
  <si>
    <t>Nazwa</t>
  </si>
  <si>
    <t>Nome</t>
  </si>
  <si>
    <t>Nombre</t>
  </si>
  <si>
    <t>template_label_registered_address</t>
  </si>
  <si>
    <t>Registered Address</t>
  </si>
  <si>
    <t>Registruotas adresas</t>
  </si>
  <si>
    <t>Adres siedziby</t>
  </si>
  <si>
    <t>Sede social</t>
  </si>
  <si>
    <t>Domicilio social</t>
  </si>
  <si>
    <t>template_label_b1_disclosure_of_sustainability_related_certification_or_label</t>
  </si>
  <si>
    <t>B1 - Disclosure of sustainability-related certification(s) or label(s)</t>
  </si>
  <si>
    <t>B1 - Su tvarumu susijusių sertifikatų ar ženklų atskleidimas</t>
  </si>
  <si>
    <t>B1 - Ujawnienie certyfikatów lub oznaczeń związanych ze zrównoważonym rozwojem</t>
  </si>
  <si>
    <t>B1 - Divulgação de certificação(ões) ou selo(s) relacionados com a sustentabilidade</t>
  </si>
  <si>
    <t>B1 - Divulgación de certificación(es) o etiqueta(s) relacionada(s) con la sostenibilidad</t>
  </si>
  <si>
    <t>template_label_has_the_undertaking_obtained_any_sustainability_related_certification_or_label</t>
  </si>
  <si>
    <t>Has the undertaking obtained any sustainability-related certification(s) or label(s) ?</t>
  </si>
  <si>
    <t>Ar įmonė gavo kokių nors su tvarumu susijusių sertifikatų ar ženklų?</t>
  </si>
  <si>
    <t>Czy jednostka uzyskała jakikolwiek certyfikat lub oznaczenie związane ze zrównoważonym rozwojem?</t>
  </si>
  <si>
    <t>A empresa obteve alguma certificação ou selo relacionado com a sustentabilidade?</t>
  </si>
  <si>
    <t>¿Ha obtenido la empresa alguna certificación o etiqueta relacionada con la sostenibilidad?</t>
  </si>
  <si>
    <t>template_label_description_of_sustainability_related_certification_or_label</t>
  </si>
  <si>
    <t>Description of sustainability-related certification(s) or label(s) including where relevant the issuers of the certification or label date and rating score</t>
  </si>
  <si>
    <t>Jeigu įmonė gavo kokį nors su tvarumu susijusį sertifikatą arba ženklą, ji turi pateikti trumpą jų aprašymą (įskaitant, kur tai aktualu, sertifikato arba ženklo išdavėjų, datą ir vertinimo balą).</t>
  </si>
  <si>
    <t>Opis certyfikatu lub oznaczenia związanego ze zrównoważonym rozwojem, w tym, w stosownych przypadkach, wystawców certyfikatu lub oznaczenia, datę i wynik oceny</t>
  </si>
  <si>
    <t xml:space="preserve">Descrição das certificações ou selos relacionados com a sustentabilidade, incluindo, quando relevante, os emissores das certificações ou selos, a data e a pontuação atribuída.
</t>
  </si>
  <si>
    <t>Descripción de certificación(es) o etiqueta(s) relacionada(s) con la sostenibilidad, incluyendo, cuando proceda, las entidades emisoras de la certificación o etiqueta, la fecha y la puntuación de la valoración</t>
  </si>
  <si>
    <t>template_label_b1_list_of_site</t>
  </si>
  <si>
    <t>B1 - List of site(s)</t>
  </si>
  <si>
    <t>B1 - Objektų sąrašas</t>
  </si>
  <si>
    <t>B1 - Lista lokalizacji</t>
  </si>
  <si>
    <t>B1 - Lista de locais</t>
  </si>
  <si>
    <t>B1 - Listado de emplazamiento(s)</t>
  </si>
  <si>
    <t>template_label_address</t>
  </si>
  <si>
    <t>Address</t>
  </si>
  <si>
    <t>Adresas</t>
  </si>
  <si>
    <t>Adres</t>
  </si>
  <si>
    <t>Morada</t>
  </si>
  <si>
    <t>Dirección</t>
  </si>
  <si>
    <t>template_label_postal_code</t>
  </si>
  <si>
    <t>Postal code</t>
  </si>
  <si>
    <t>Pašto kodas</t>
  </si>
  <si>
    <t>Kod pocztowy</t>
  </si>
  <si>
    <t>Código postal</t>
  </si>
  <si>
    <t>template_label_city</t>
  </si>
  <si>
    <t>City</t>
  </si>
  <si>
    <t xml:space="preserve">Miestas
</t>
  </si>
  <si>
    <t>Miasto</t>
  </si>
  <si>
    <t>Cidade</t>
  </si>
  <si>
    <t>Ciudad</t>
  </si>
  <si>
    <t>template_label_country</t>
  </si>
  <si>
    <t>Country</t>
  </si>
  <si>
    <t>Šalis</t>
  </si>
  <si>
    <t>Kraj</t>
  </si>
  <si>
    <t>País</t>
  </si>
  <si>
    <t>template_label_gps_coordinates</t>
  </si>
  <si>
    <t>GPS Coordinates (geolocation)</t>
  </si>
  <si>
    <t>GPS Koordinatės (geolokacija)</t>
  </si>
  <si>
    <t>Współrzędne GPS (położenie geograficzne)</t>
  </si>
  <si>
    <t>Coordenadas GPS (geolocalização)</t>
  </si>
  <si>
    <t>Coordenadas GPS (geolocalización)</t>
  </si>
  <si>
    <t>template_label_automatic_geolocation</t>
  </si>
  <si>
    <t>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t>
  </si>
  <si>
    <t>Automatinė geolokacija: įjungus „OpenStreetMap“ automatinę geolokaciją pažymint toliau esantį žymimąjį langelį, įmonė patvirtina, kad yra pilnai susipažinęs su Nominatim naudojimo politika ir privatumo politika ir joms pritaria.
„OpenStreetMap®“ yra atviri duomenys, licencijuojami pagal Open Data Commons Open Database License (ODbL), kurią suteikia OpenStreetMap Foundation (OSMF). Visi duomenys priklauso ir yra valdomi „OpenStreetMap®“.</t>
  </si>
  <si>
    <t xml:space="preserve">Automatyczna geolokalizacja: włączenie automatycznej geolokalizacji OpenStreetMaps za pomocą pola wyboru poniżej oznacza, że jednostka oświadcza, że jest w pełni świadoma i akceptuje Politykę użytkowania Nominatim oraz Politykę prywatności.
OpenStreetMap® to otwarte dane licencjonowane na podstawie Open Data Commons Open Database License (ODbL) przez OpenStreetMap Foundation (OSMF). Wszystkie dane należą do OpenStreetMap® i są jego własnością. </t>
  </si>
  <si>
    <t>Geolocalização automática: ao ativar a geolocalização automática do OpenStreetMaps com a caixa de seleção abaixo, a empresa declara estar plenamente ciente e aceitar a Política de Utilização do Nominatim e a Política de Privacidade .
O OpenStreetMap® é um conjunto de dados abertos licenciado sob a Open Data Commons Open Database License (ODbL) pela OpenStreetMap Foundation (OSMF). Todos os dados pertencem e são propriedade do OpenStreetMap®</t>
  </si>
  <si>
    <t xml:space="preserve">Geolocalización automática: Al activar la geolocalización automática de OpenStreetMaps con la casilla de verificación a continuación, la empresa declara ser plenamente consciente y acepta la Política de uso de Nominatim y la Política de privacidad.
OpenStreetMap® es datos abiertos licenciados bajo la Licencia Abierta de Bases de Datos (ODbL) de Open Data Commons por la Fundación OpenStreetMap (OSMF). Todos los datos pertenecen y son propiedad de OpenStreetMap®.
</t>
  </si>
  <si>
    <t>template_label_b2_practices_policies_and_future_initiatives_for_transitioning_towards_a_more_sustainable_economy</t>
  </si>
  <si>
    <t>B2 – Practices policies and future initiatives for transitioning towards a more sustainable economy</t>
  </si>
  <si>
    <t>B2 - Praktikos, politikos priemonės ir būsimos iniciatyvos, skirtos perėjimui prie tvaresnės ekonomikos</t>
  </si>
  <si>
    <t>B2 — Práticas, políticas e iniciativas futuras para a transição para uma economia mais sustentável</t>
  </si>
  <si>
    <t>template_label_has_the_undertaking_put_in_place_specific_practices_policies_and_or_future</t>
  </si>
  <si>
    <t>Has the undertaking put in place specific practices policies and or future initiatives for transitioning towards a more sustainable economy?</t>
  </si>
  <si>
    <t>Ar įmonė yra įdiegusi konkrečias praktikas, politikas arba būsimas iniciatyvas siekiant pereiti prie tvaresnės ekonomikos?</t>
  </si>
  <si>
    <t>Czy jednostka wprowadziła konkretne praktyki, polityki i/lub przyszłe inicjatywy na rzecz przejścia na bardziej zrównoważoną gospodarkę?</t>
  </si>
  <si>
    <t>A empresa adotou práticas específicas, políticas e/ou iniciativas futuras para a transição para uma economia mais sustentável?</t>
  </si>
  <si>
    <t>¿Ha establecido la empresa prácticas, políticas y/o iniciativas futuras específicas para la transición hacia una economía más sostenible?</t>
  </si>
  <si>
    <t>template_label_sustainability_issues_addressed_by_a_practice_policy_and_or_future_initiatives_put_in_place</t>
  </si>
  <si>
    <t>Sustainability issues addressed by a practice policy and or future initiatives that the undertaking has put in place</t>
  </si>
  <si>
    <t xml:space="preserve">Tvarumo klausimai, kuriuos sprendžia praktikos politika ir (arba) būsimos iniciatyvos, kurias įmonė įgyvendino
</t>
  </si>
  <si>
    <t>Kwestie zrównoważonego rozwoju uwzględnione w praktykach, politykach i/lub przyszłych inicjatywach wprowadzonych przez jednostkę</t>
  </si>
  <si>
    <t>Questões de sustentabilidade abordadas por uma política prática e/ou iniciativas futuras que a empresa tenha implementado</t>
  </si>
  <si>
    <t>Cuestiones de sostenibilidad abordadas por prácticas, políticas y/o futuras iniciativas que la empresa ha implementado</t>
  </si>
  <si>
    <t>template_label_undertaking_has_a_practice_policy_and_or_future_initiative_that_is_publicly_available</t>
  </si>
  <si>
    <t>Undertaking has a practice policy and or future initiative that is publicly available</t>
  </si>
  <si>
    <t>Įmonė turi šiam tikslui skirtą praktikos politiką ir (arba) būsimą iniciatyvą, kuri yra viešai prieinama</t>
  </si>
  <si>
    <t>Jednostka posiada praktykę, politykę i/lub przyszłą inicjatywę, która jest publicznie dostępna</t>
  </si>
  <si>
    <t>A empresa tem uma política prática e/ou iniciativa futura que está disponível publicamente</t>
  </si>
  <si>
    <t>La empresa tiene una política de prácticas y/o una iniciativa futura que está disponible públicamente.</t>
  </si>
  <si>
    <t>template_label_undertaking_has_set_a_target_which_is_related_to_a_policy</t>
  </si>
  <si>
    <t>Undertaking has set a target which is related to a policy</t>
  </si>
  <si>
    <t>Įmonė yra nustačiusi tikslą, susijusį su šia politika</t>
  </si>
  <si>
    <t>Jednostka wyznaczyła cel związany z polityką</t>
  </si>
  <si>
    <t>A empresa fixou um objetivo relacionado com uma política</t>
  </si>
  <si>
    <t>La empresa ha establecido un objetivo que está relacionado con una política</t>
  </si>
  <si>
    <t>template_label_climate_change</t>
  </si>
  <si>
    <t>Klimato kaita</t>
  </si>
  <si>
    <t>Zmiana klimatu</t>
  </si>
  <si>
    <t>Alterações climáticas</t>
  </si>
  <si>
    <t>Cambio climático</t>
  </si>
  <si>
    <t>template_label_pollution</t>
  </si>
  <si>
    <t>Tarša</t>
  </si>
  <si>
    <t>Zanieczyszczenie</t>
  </si>
  <si>
    <t>Poluição</t>
  </si>
  <si>
    <t>Contaminación</t>
  </si>
  <si>
    <t>template_label_water_and_marine_resources</t>
  </si>
  <si>
    <t>Vandens ir jūrų ištekliai</t>
  </si>
  <si>
    <t>Woda i zasoby morskie</t>
  </si>
  <si>
    <t>Água e recursos marinhos</t>
  </si>
  <si>
    <t>Agua y recursos marinos</t>
  </si>
  <si>
    <t>template_label_biodiversity_and_ecosystems</t>
  </si>
  <si>
    <t>Biologinė įvairovė ir ekosistemos</t>
  </si>
  <si>
    <t>Bioróżnorodność i ekosystemy</t>
  </si>
  <si>
    <t>Biodiversidade e ecossistemas</t>
  </si>
  <si>
    <t>Biodiversidad y ecosistemas</t>
  </si>
  <si>
    <t>template_label_circular_economy</t>
  </si>
  <si>
    <t>Žiedinė ekonomika</t>
  </si>
  <si>
    <t>Gospodarka o obiegu zamkniętym</t>
  </si>
  <si>
    <t>Economia circular</t>
  </si>
  <si>
    <t>Economía circular</t>
  </si>
  <si>
    <t>template_label_own_workforce</t>
  </si>
  <si>
    <t>Sava darbo jėga</t>
  </si>
  <si>
    <t>Własne zasoby pracownicze</t>
  </si>
  <si>
    <t>Mão de obra própria</t>
  </si>
  <si>
    <t>Personal propio</t>
  </si>
  <si>
    <t>template_label_workers_in_the_value_chain</t>
  </si>
  <si>
    <t>Vertės grandinės darbuotojai</t>
  </si>
  <si>
    <t>Osoby wykonujące pracę w łańcuchu wartości</t>
  </si>
  <si>
    <t>Trabalhadores na cadeia de valor</t>
  </si>
  <si>
    <t>Trabajadores en la cadena de valor</t>
  </si>
  <si>
    <t>template_label_affected_communities</t>
  </si>
  <si>
    <t>Paveiktos bendruomenės</t>
  </si>
  <si>
    <t>Dotknięte społeczności</t>
  </si>
  <si>
    <t>Comunidades afetadas</t>
  </si>
  <si>
    <t>Comunidades afectadas</t>
  </si>
  <si>
    <t>template_label_consumers_and_endusers</t>
  </si>
  <si>
    <t>Vartotojai ir galutiniai naudotojai</t>
  </si>
  <si>
    <t>Konsumenci i użytkownicy końcowi</t>
  </si>
  <si>
    <t>Consumidores e utilizadores finais</t>
  </si>
  <si>
    <t>Consumidores y usuarios finales</t>
  </si>
  <si>
    <t>template_label_business_conduct</t>
  </si>
  <si>
    <t>Verslo etika</t>
  </si>
  <si>
    <t>Postępowanie w biznesie</t>
  </si>
  <si>
    <t>Conduta empresarial</t>
  </si>
  <si>
    <t>Conducta empresarial</t>
  </si>
  <si>
    <t>template_label_b2_cooperative_specific_disclosures</t>
  </si>
  <si>
    <t>B2 - Cooperative specific disclosures</t>
  </si>
  <si>
    <t>B2. Konkrečios kooperatyvų informacijos atskleidimas</t>
  </si>
  <si>
    <t>B2 - Ujawnianie informacji na temat współpracy</t>
  </si>
  <si>
    <t>B2 - Divulgações específicas da cooperativa</t>
  </si>
  <si>
    <t>B2 - Información específica de la cooperativa</t>
  </si>
  <si>
    <t>template_label_effective_participation_of_workers_users_or_other_interested_parties_or_communities_in_governance</t>
  </si>
  <si>
    <t>Effective participation of workers users or other interested parties or communities in governance</t>
  </si>
  <si>
    <t>Aktyvus darbuotojų, naudotojų ar kitų suinteresuotųjų šalių ar bendruomenių dalyvavimas valdymo procesuose</t>
  </si>
  <si>
    <t>Efektywny udział pracowników, użytkowników lub innych zainteresowanych stron lub społeczności w ładzie korporacyjnym</t>
  </si>
  <si>
    <t>A participação efetiva dos trabalhadores, utilizadores ou outras partes interessadas ou comunidades na governação</t>
  </si>
  <si>
    <t>La participación efectiva de los trabajadores, usuarios u otras partes interesadas o colectivos en la gobernanza</t>
  </si>
  <si>
    <t>template_label_financial_investment_in_the_capital_or_assets_of_social_economy_entities</t>
  </si>
  <si>
    <t>Financial investment in the capital or assets of social economy entities referred to in the Council Recommendation of 29 September 2023 (excluding donations and contributions)</t>
  </si>
  <si>
    <t>Finansinės investicijos į socialinės ekonomikos subjektų kapitalą ar turtą, nurodytą 2023 m. rugsėjo 29 d. Tarybos rekomendacijoje (išskyrus dovanas ir įnašus)</t>
  </si>
  <si>
    <t>Inwestycje finansowe w kapitał lub aktywa podmiotów gospodarki społecznej, o których mowa w zaleceniu Rady z dnia 29 września 2023 r. (z wyłączeniem darowizn i składek)</t>
  </si>
  <si>
    <t>O investimento financeiro no capital ou nos ativos das entidades da economia social a que se refere a Recomendação do Conselho de 29 de setembro de 2023 (excluindo donativos e contribuições)</t>
  </si>
  <si>
    <t>la inversión financiera en el capital o los activos de las entidades de economía social a que se refiere la Recomendación del Consejo de 29 de septiembre de 2023 (excluidas las donaciones y las contribuciones)</t>
  </si>
  <si>
    <t>template_label_limits_to_the_distribution_of_profits</t>
  </si>
  <si>
    <t>Any limits to the distribution of profits connected to the mutualistic nature or to the nature of the activities consisting in services of general economic interest (SGEI)</t>
  </si>
  <si>
    <t>Bet kokie pelno paskirstymo apribojimai, susiję su viešuoju interesu arba su veikla, kuria teikiamos bendrojo ekonominio intereso paslaugos (SGEI)</t>
  </si>
  <si>
    <t>Wszelkie ograniczenia w podziale zysków związane z wzajemnym charakterem lub specyfiką działalności polegającej na świadczeniu usług świadczonych w ogólnym interesie gospodarczym (UOIG).</t>
  </si>
  <si>
    <t>Quaisquer limites à distribuição de lucros ligados à natureza mutualista ou à natureza das atividades que consistem em serviços de interesse económico geral (SIEG)</t>
  </si>
  <si>
    <t>Cualquier límite a la distribución de beneficios vinculado a la naturaleza mutualista o a la naturaleza de las actividades consistentes en servicios de interés económico general (SGEI)</t>
  </si>
  <si>
    <t>template_label_c2_description_of_practices_policies_and_future_initiatives_for_transitioning_towards_a_more_sustainable_economy</t>
  </si>
  <si>
    <t>C2 – Description of practices policies and future initiatives for transitioning towards a more sustainable economy</t>
  </si>
  <si>
    <t>C2 - Perėjimo prie tvaresnės ekonomikos praktikos, politikos ir būsimų iniciatyvų aprašymas</t>
  </si>
  <si>
    <t>C2 — Descrição das práticas, políticas e iniciativas futuras para a transição para uma economia mais sustentável</t>
  </si>
  <si>
    <t>C2 – Descripción de las prácticas, políticas e iniciativas futuras para la transición hacia una economía más sostenible</t>
  </si>
  <si>
    <t>template_label_description_of_a_practice_policy_and_or_future_initiative_towards_a_more_sustainable_future</t>
  </si>
  <si>
    <t>Description of a practice policy and or future initiative towards a more sustainable future (In case the practice  policy  future initiative covers suppliers or clients the undertaking shall mention it)</t>
  </si>
  <si>
    <t>Aprašymas apie praktikos politiką ir/ar būsimą iniciatyvą siekiant tvaresnės ateities (jei praktikos politika ar būsimą iniciatyvą apima tiekėjai ar klientai, įmonė privalo apie tai nurodyti)</t>
  </si>
  <si>
    <t>Opis polityki, praktyki i/lub przyszłej inicjatywy na rzecz bardziej zrównoważonej przyszłości (jeśli praktyka, polityka lub przyszła inicjatywa obejmuje dostawców lub klientów, należy to zaznaczyć)</t>
  </si>
  <si>
    <t>Descrição de uma prática, política e/ou iniciativa futura para um futuro mais sustentável (Caso a prática, política ou iniciativa futura abranja fornecedores ou clientes, a empresa deve mencioná-lo)</t>
  </si>
  <si>
    <t>Descripción de una práctica, política y/o iniciativa futura hacia un futuro más sostenible (En caso de que la práctica, política o iniciativa futura incluya a proveedores o clientes, la entidad deberá mencionarlo)</t>
  </si>
  <si>
    <t>template_label_description_of_target_related_to_a_policy</t>
  </si>
  <si>
    <t>Description of target related to a policy</t>
  </si>
  <si>
    <t>Su politika susijusio tikslo aprašymas</t>
  </si>
  <si>
    <t>Opis celu związanego z polityką</t>
  </si>
  <si>
    <t>Descrição do objetivo relacionado com uma política</t>
  </si>
  <si>
    <t>Descripción del objetivo relacionado con una política</t>
  </si>
  <si>
    <t>template_label_most_senior_level_accountable_for_implementing_practices_policies_and_or_future_initiatives</t>
  </si>
  <si>
    <t>Most senior level within its employees that is accountable for implementing the policies when this has been determined by the undertaking</t>
  </si>
  <si>
    <t>Aukščiausias darbuotojų hierarchijos lygmuo, atsakingas už politikų įgyvendinimą (jei tai yra įmonės nustatyta).</t>
  </si>
  <si>
    <t>Najwyższy szczebel w jednostce, który jest odpowiedzialny za wdrożenie polityk, jeśli został określony przez jednostkę</t>
  </si>
  <si>
    <t>O nível mais senior dentro dos seus empregados que é responsável pela implementação das políticas quando tal tenha sido determinado pela empresa</t>
  </si>
  <si>
    <t>El nivel más alto dentro de sus empleados que es responsable de implementar las políticas cuando esto ha sido determinado por la empresa.</t>
  </si>
  <si>
    <t>template_label_c1_strategy_business_model_and_sustainability_related_initiatives</t>
  </si>
  <si>
    <t>C1 – Strategija: verslo modelis ir su tvarumu susijusios iniciatyvos</t>
  </si>
  <si>
    <t>Strategia: model biznesowy i zrównoważony rozwój – powiązane inicjatywy</t>
  </si>
  <si>
    <t>C1 — Estratégia: Modelo de negócio e sustentabilidade — Iniciativas conexas</t>
  </si>
  <si>
    <t>C1 – Estrategia: modelo de negocio y sostenibilidad – Iniciativas relacionadas</t>
  </si>
  <si>
    <t>template_label_description_of_significant_groups_of_products_and_or_services_offered</t>
  </si>
  <si>
    <t>Description of significant groups of products and or services offered</t>
  </si>
  <si>
    <t>Siūlomų reikšmingų produktų ir (ar) paslaugų grupių aprašymas</t>
  </si>
  <si>
    <t>Opis znaczących grup oferowanych produktów i/lub usług</t>
  </si>
  <si>
    <t>Descrição dos grupos significativos de produtos disponibilizados e/ou serviços prestados</t>
  </si>
  <si>
    <t>Descripción de los grupos significativos de productos o servicios ofrecidos</t>
  </si>
  <si>
    <t>template_label_description_of_significant_market_the_undertaking_operates_in</t>
  </si>
  <si>
    <t>Description of significant market(s) the undertaking operates in (e.g. B2B, wholesale, retail, countries)</t>
  </si>
  <si>
    <t xml:space="preserve">Reikšmingų rinkų, kuriose įmonė veikia (pvz., B2B, didmeninė prekyba, mažmeninė prekyba, šalys), aprašymas
</t>
  </si>
  <si>
    <t>Opis istotnych rynków, na których jednostka prowadzi działalność (np. B2B, handel hurtowy, detaliczny, kraje)</t>
  </si>
  <si>
    <t>Descrição dos mercados significativos em que a empresa atua (por exemplo, B2B, venda por grosso, venda a retalho, países)</t>
  </si>
  <si>
    <t>Descripción de los mercados significativos en los que opera la empresa (por ejemplo, B2B, mayorista, minorista, países)</t>
  </si>
  <si>
    <t>template_label_description_of_main_business_relationships</t>
  </si>
  <si>
    <t>Description of main business relationships (such as key suppliers, customers, distribution channels)</t>
  </si>
  <si>
    <t>Pagrindinių verslo santykių aprašymas (pvz., pagrindiniai tiekėjai, klientai, paskirstymo kanalai)</t>
  </si>
  <si>
    <t>Opis głównych relacji biznesowych (np. kluczowi dostawcy, klienci, kanały dystrybucji)</t>
  </si>
  <si>
    <t>Descrição das principais relações comerciais (como os principais fornecedores, clientes, canais de distribuição)</t>
  </si>
  <si>
    <t>Una descripción de las principales relaciones comerciales (proveedores clave, clientes, canales de distribución)</t>
  </si>
  <si>
    <t>template_label_has_the_strategy_key_elements_that_relate_to_or_affect_sustainability_issues</t>
  </si>
  <si>
    <t>Has the strategy key elements that relate to or affect sustainability issues?</t>
  </si>
  <si>
    <t>Ar strategijoje yra pagrindinių elementų, susijusių su tvarumo klausimais arba darančių jiems įtaką?</t>
  </si>
  <si>
    <t>Czy strategia zawiera kluczowe elementy, które odnoszą się do kwestii związanych ze zrównoważonym rozwojem lub mają na nie wpływ?</t>
  </si>
  <si>
    <t>A estratégia tem elementos fundamentais que estão relacionados com, ou que afetam, questões de sustentabilidade?</t>
  </si>
  <si>
    <t>¿Tiene la estrategia elementos clave que se relacionan o afectan a cuestiones de sostenibilidad?</t>
  </si>
  <si>
    <t>template_label_description_of_those_key_elements_in_the_strategy_that_relate_or_affect_sustainability_issues</t>
  </si>
  <si>
    <t>Description of those key elements in the strategy that relate or affect sustainability issues</t>
  </si>
  <si>
    <t>Strategijos pagrindinių elementų, susijusių su tvarumu arba darančių jam įtaką, aprašymas</t>
  </si>
  <si>
    <t>Opis kluczowych elementów, które odnoszą się do kwestii związanych ze zrównoważonym rozwojem lub mają na nie wpływ</t>
  </si>
  <si>
    <t>Descrição desses elementos fundamentais da estratégia que se relacionam com, ou que afetam, questões de sustentabilidade</t>
  </si>
  <si>
    <t>Descripción de aquellos elementos clave en la estrategia que se relacionan o afecten a cuestiones de sostenibilidad</t>
  </si>
  <si>
    <t>template_label_disclosure_of_any_other_general_and_or_entity_specific_information_on_the_reporting_period</t>
  </si>
  <si>
    <t>Disclosure of any other general and or entity specific information on the reporting period</t>
  </si>
  <si>
    <t>Bet kokios kitos bendrosios ir (ar) įmonei specifinės informacijos apie ataskaitinį laikotarpį atskleidimas</t>
  </si>
  <si>
    <t>Divulgação de qualquer outra informação geral e/ou específica da entidade sobre o período de relato</t>
  </si>
  <si>
    <t>Divulgación de cualquier otra información general y/o específica de la entidad sobre el periodo de informe</t>
  </si>
  <si>
    <t>template_label_b3_total_energy_consumption</t>
  </si>
  <si>
    <t>B3 - Total Energy Consumption (in MWh)</t>
  </si>
  <si>
    <t>B3 – Bendras energijos suvartojimas (MWh)</t>
  </si>
  <si>
    <t>B3 - Całkowite zużycie energii (w MWh)</t>
  </si>
  <si>
    <t>B3 — Consumo total de energia (em MWh)</t>
  </si>
  <si>
    <t>B3 – Consumo total de energía (en MWh)</t>
  </si>
  <si>
    <t>template_label_total_energy_consumption</t>
  </si>
  <si>
    <t>Total Energy Consumption</t>
  </si>
  <si>
    <t>Bendras energijos suvartojimas</t>
  </si>
  <si>
    <t>Całkowite zużycie energii</t>
  </si>
  <si>
    <t>Consumo total de energia</t>
  </si>
  <si>
    <t xml:space="preserve">Consumo total de energía
</t>
  </si>
  <si>
    <t>template_label_b3_breakdown_of_energy_consumption</t>
  </si>
  <si>
    <t>B3 - Breakdown of energy consumption (in MWh)</t>
  </si>
  <si>
    <t>B3 - Energijos suvartojimo (MWh) išskaidymas</t>
  </si>
  <si>
    <t>B3 - Podział zużycia energii (w MWh)</t>
  </si>
  <si>
    <t>B3 — Repartição do consumo de energia (em MWh)</t>
  </si>
  <si>
    <t>B3 - Desglose del consumo de energía (en MWh)</t>
  </si>
  <si>
    <t>template_label_has_the_undertaking_obtained_the_necessary_information_to_provide_an_energy_consumption_breakdown</t>
  </si>
  <si>
    <t>Has the undertaking obtained the necessary information to provide an energy consumption breakdown?</t>
  </si>
  <si>
    <t>Ar įmonė gavo reikalingą informaciją energijos suvartojimo išskaidymui pateikti?</t>
  </si>
  <si>
    <t>Czy jednostka uzyskała niezbędne informacje pozwalające na przedstawienie podziału zużycia energii?</t>
  </si>
  <si>
    <t>A empresa obteve a informação necessária para fornecer uma discriminação do consumo de energia?</t>
  </si>
  <si>
    <t>¿Ha obtenido la empresa la información necesaria para proporcionar un desglose del consumo de energía?</t>
  </si>
  <si>
    <t>template_label_renewable</t>
  </si>
  <si>
    <t xml:space="preserve">Atsinaujinanti energija </t>
  </si>
  <si>
    <t>Odnawialny</t>
  </si>
  <si>
    <t>Renovável</t>
  </si>
  <si>
    <t>Renovable</t>
  </si>
  <si>
    <t>template_label_non_renewable</t>
  </si>
  <si>
    <t>Neatsinaujinanti energija</t>
  </si>
  <si>
    <t>Nieodnawialny</t>
  </si>
  <si>
    <t>Não renovável</t>
  </si>
  <si>
    <t>No renovable</t>
  </si>
  <si>
    <t>template_label_total_renewable_and_nonrenewable</t>
  </si>
  <si>
    <t>Total renewable and non-renewable</t>
  </si>
  <si>
    <t>Bendras atsinaujinančių ir neatsinaujinančių energijos šaltinių energijos kiekis</t>
  </si>
  <si>
    <t>Całkowite odnawialne i nieodnawialne</t>
  </si>
  <si>
    <t>Total renovável e não renovável</t>
  </si>
  <si>
    <t>Total renovable y no renovable</t>
  </si>
  <si>
    <t>template_label_electricity</t>
  </si>
  <si>
    <t>Electricity (as reflected in utility billings)</t>
  </si>
  <si>
    <t>Elektra (kaip nurodyta komunalinių paslaugų sąskaitose)</t>
  </si>
  <si>
    <t>Energia elektryczna (według danych zawartych w rachunkach za media)</t>
  </si>
  <si>
    <t>Eletricidade (conforme refletida nas faturas de serviços públicos)</t>
  </si>
  <si>
    <t>Electricidad (según se refleja en las facturas de servicios)</t>
  </si>
  <si>
    <t>template_label_selfgenerated_electricity</t>
  </si>
  <si>
    <t>Self-generated electricity</t>
  </si>
  <si>
    <t>Įmonės pasigaminta elektra</t>
  </si>
  <si>
    <t>Samodzielnie produkowana energia elektryczna</t>
  </si>
  <si>
    <t>Eletricidade de produção própria</t>
  </si>
  <si>
    <t>Electricidad autoproducida</t>
  </si>
  <si>
    <t>template_label_fuels</t>
  </si>
  <si>
    <t>Fuels (see Fuel Converter on Fuels worksheet)</t>
  </si>
  <si>
    <t>Kuras (žr. „Kuro konverterį / konvertavimo skaičiuoklę“ darbalapyje „Kuras“)</t>
  </si>
  <si>
    <t>Paliwa (zobacz Konwerter Paliw na arkuszu Paliwa)</t>
  </si>
  <si>
    <t>Combustíveis (ver Conversor de Combustíveis na folha Combustíveis)</t>
  </si>
  <si>
    <t>Combustibles (ver Convertidor de Combustibles en la hoja Combustibles)</t>
  </si>
  <si>
    <t>template_label_b3_estimated_greenhouse_gas_emissions</t>
  </si>
  <si>
    <t>B3 - Estimated Greenhouse Gas Emissions considering the GHG Protocol Version 2004 (in tCO2e)</t>
  </si>
  <si>
    <t>B3 – Apskaičiuotos šiltnamio efektą sukeliančių dujų emisijos, atsižvelgiant į 2004 m. ŠESD protokolo versiją (tCO2e)</t>
  </si>
  <si>
    <t>B3 – Szacunkowa emisja gazów cieplarnianych z uwzględnieniem wymogów GHG Protocol Corporate Standard w wersji z 2004 r. (w tCO2e)</t>
  </si>
  <si>
    <t xml:space="preserve">B3 – Emissões estimadas de gases com efeito de estufa considerando o Protocolo GEE Versão 2004 (em teCO2) 
</t>
  </si>
  <si>
    <t>B3 – Emisiones brutas estimadas de gases de efecto invernadero considerando el Protocolo GEI versión 2004 (en tCO2e)</t>
  </si>
  <si>
    <t>template_label_c3_ghg_reduction_targets</t>
  </si>
  <si>
    <t>C3 - GHG reduction targets (in tC02e)</t>
  </si>
  <si>
    <t>C3 – Šiltnamio efektą sukeliančių dujų mažinimo tikslai (tCO2e)</t>
  </si>
  <si>
    <t>C3 – Cele redukcji emisji gazów cieplarnianych (w tCO2e)</t>
  </si>
  <si>
    <t>C3 - Metas de redução de GEE (em tCO2e)</t>
  </si>
  <si>
    <t>C3 - Metas de reducción de GEI (en tCO2e)</t>
  </si>
  <si>
    <t>template_label_has_the_undertaking_has_established_ghg_emission_reduction_targets</t>
  </si>
  <si>
    <t>Has  the undertaking has established GHG emission reduction targets?</t>
  </si>
  <si>
    <t>Ar įmonė nusistatė ŠESD mažinimo tikslus?</t>
  </si>
  <si>
    <t>Czy jednostka ustanowiła cele redukcji emisji gazów cieplarnianych?</t>
  </si>
  <si>
    <t>A empresa estabeleceu metas de redução das emissões de GEE?</t>
  </si>
  <si>
    <t>¿La empresa ha establecido objetivos de reducción de emisiones de gases de efecto invernadero (GHG)?</t>
  </si>
  <si>
    <t>template_label_current_reporting_period</t>
  </si>
  <si>
    <t>Current Reporting Period</t>
  </si>
  <si>
    <t>Ataskaitinis laikotarpis</t>
  </si>
  <si>
    <t>Bieżący okres sprawozdawczy</t>
  </si>
  <si>
    <t>Período de Relato Atual</t>
  </si>
  <si>
    <t>Periodo de informe actual</t>
  </si>
  <si>
    <t>template_label_base_year</t>
  </si>
  <si>
    <t>Base Year</t>
  </si>
  <si>
    <t>Baziniai (atskaitos) metai</t>
  </si>
  <si>
    <t>Rok bazowy</t>
  </si>
  <si>
    <t>Ano base</t>
  </si>
  <si>
    <t>Año de referencia</t>
  </si>
  <si>
    <t>template_label_target_year</t>
  </si>
  <si>
    <t>Target Year</t>
  </si>
  <si>
    <t>Tiksliniai metai</t>
  </si>
  <si>
    <t>Rok docelowy</t>
  </si>
  <si>
    <t>Ano-alvo</t>
  </si>
  <si>
    <t>Año objetivo</t>
  </si>
  <si>
    <t>template_label_percentage_reduction_from_base_year</t>
  </si>
  <si>
    <t>Percentage reduction from base year</t>
  </si>
  <si>
    <t>Procentinis sumažėjimas nuo atskaitos metų lygio</t>
  </si>
  <si>
    <t>Procentowa redukcja względem roku bazowego</t>
  </si>
  <si>
    <t>Redução percentual em relação ao ano base</t>
  </si>
  <si>
    <t>Reducción porcentual respecto al año base</t>
  </si>
  <si>
    <t>template_label_year_date</t>
  </si>
  <si>
    <t>Year (date)</t>
  </si>
  <si>
    <t>Metai (data)</t>
  </si>
  <si>
    <t>Rok (data)</t>
  </si>
  <si>
    <t>Ano (data)</t>
  </si>
  <si>
    <t>Año (fecha)</t>
  </si>
  <si>
    <t>template_label_gross_scope_1_ghg_emissions</t>
  </si>
  <si>
    <t>Gross Scope 1 GHG Emissions</t>
  </si>
  <si>
    <t>Bendrosios pirmos apimties  ŠESD emisijos</t>
  </si>
  <si>
    <t>Emisje brutto gazów cieplarnianych zakresu 1 (GHG)</t>
  </si>
  <si>
    <t>Emissões brutas de gases com efeito de estufa (GEE) de âmbito 1</t>
  </si>
  <si>
    <t>Emisiones brutas de GEI de Alcance 1</t>
  </si>
  <si>
    <t>template_label_gross_scope_2_location_based_ghg_emissions</t>
  </si>
  <si>
    <t>Gross Scope 2 location-based GHG Emissions</t>
  </si>
  <si>
    <t>Bendrosios antros apimties ŠESD emisijos (vietos metodas)</t>
  </si>
  <si>
    <t>Emisje brutto gazów cieplarnianych zakresu 2 według metody opartej na lokalizacji</t>
  </si>
  <si>
    <t>Emissões brutas de âmbito 2 de GEE  baseadas na localização</t>
  </si>
  <si>
    <t>Emisiones brutas de GEI de alcance 2 basadas en la ubicación</t>
  </si>
  <si>
    <t>template_label_gross_scope_2_market_based_ghg_emissions</t>
  </si>
  <si>
    <t>Gross scope 2 market-based GHG Emissions</t>
  </si>
  <si>
    <t>Bendrosios antros apimties ŠESD emisijos (rinkos metodas)</t>
  </si>
  <si>
    <t>Emisje brutto gazów cieplarnianych zakresu 2 według metody opartej na rynku</t>
  </si>
  <si>
    <t>Emissões brutas de âmbito 2 de GEE  baseadas no mercado</t>
  </si>
  <si>
    <t>Emisiones brutas de gases de efecto invernadero (GEI) de alcance 2 basadas en el mercado</t>
  </si>
  <si>
    <t>template_label_total_scope_1_and_scope_2_ghg_emissions_location_based</t>
  </si>
  <si>
    <t>Total Scope 1 and Scope 2 GHG Emissions (location-based)</t>
  </si>
  <si>
    <t>Bendrosios pirmos apimties ir antros apimties (vietos metodas) ŠESD emisijos</t>
  </si>
  <si>
    <t>Całkowite emisje gazów cieplarnianych zakresu 1 i zakresu 2 (według metody opartej na lokalizacji)</t>
  </si>
  <si>
    <t>Emissões Totais de GEE de Âmbito 1 e Âmbito 2 (baseadas na localização)</t>
  </si>
  <si>
    <t>Emisiones totales de GEI de Alcance 1 y Alcance 2 (basadas en la ubicación)</t>
  </si>
  <si>
    <t>template_label_total_scope_1_and_scope_2_ghg_emissions_market_based</t>
  </si>
  <si>
    <t>Total Scope 1 and Scope 2 GHG emissions  (market-based)</t>
  </si>
  <si>
    <t>Całkowite emisje gazów cieplarnianych zakresu 1 i zakresu 2 (według metody opartej na rynku)</t>
  </si>
  <si>
    <t>Emissões totais de GEE de Âmbito 1 e Âmbito 2 (baseadas no mercado)</t>
  </si>
  <si>
    <t>Emisiones totales de GEI de Alcance 1 y Alcance 2 (basadas en el mercado)</t>
  </si>
  <si>
    <t>template_label_is_the_undertaking_disclosing_entity_specific_information_on_scope_3_emissions</t>
  </si>
  <si>
    <t>Is the undertaking disclosing entity-specific information on Scope 3 emissions (in tCO2e)?</t>
  </si>
  <si>
    <t>Ar įmonė atskleidžia specifinę informaciją apie 3 apimties emisijas (tCO2e)?</t>
  </si>
  <si>
    <t>Czy jednostka ujawnia informacje specyficzne dla jednostki na temat emisji z zakresie 3 (w tCO2e)?</t>
  </si>
  <si>
    <t>A empresa está a divulgar informações específicas sobre emissões do Âmbito 3 (em tCO2e)?</t>
  </si>
  <si>
    <t>¿La empresa divulga información específica sobre las emisiones de Alcance 3 (en tCO2e)?</t>
  </si>
  <si>
    <t>template_label_1_purchased_goods_and_services</t>
  </si>
  <si>
    <t>1. Purchased Goods and Services</t>
  </si>
  <si>
    <t>1. Pirktos prekės ir paslaugos</t>
  </si>
  <si>
    <t>1. Zakupione towary i usługi</t>
  </si>
  <si>
    <t>1. Bens e Serviços Adquiridos</t>
  </si>
  <si>
    <t>1. Bienes y servicios adquiridos</t>
  </si>
  <si>
    <t>template_label_2_capital_goods</t>
  </si>
  <si>
    <t>2. Capital Goods</t>
  </si>
  <si>
    <t>2. Kapitalinės prekės</t>
  </si>
  <si>
    <t>2. Dobra inwestycyjne</t>
  </si>
  <si>
    <t>2. Bens de Equipamento</t>
  </si>
  <si>
    <t>2. Bienes de capital</t>
  </si>
  <si>
    <t>template_label_3_fuel__and_energy_related_activities</t>
  </si>
  <si>
    <t>3. Fuel- and Energy-Related Activities (Not Included in Scope 1 or Scope 2)</t>
  </si>
  <si>
    <t>3. Su kuru ir energija susijusi veikla (neįtraukta į pirmą ar antrą ŠESD emisijų apimtį)</t>
  </si>
  <si>
    <t>3. Działalność związana z paliwami i energią (niezawarta w zakresie 1 i zakresie 2)</t>
  </si>
  <si>
    <t>3. Atividades Relacionadas com Combustíveis e Energia (Não Incluídas no Âmbito 1 ou Âmbito 2)</t>
  </si>
  <si>
    <t>3. Actividades relacionadas con el combustible y la energía (no incluidas en el Alcance 1 ni en el Alcance 2)</t>
  </si>
  <si>
    <t>template_label_4_upstream_transportation_and_distribution</t>
  </si>
  <si>
    <t>4. Upstream Transportation and Distribution</t>
  </si>
  <si>
    <t>4. Priešsrovinis transportavimas ir paskirstymas</t>
  </si>
  <si>
    <t>4. Transport i dystrybucja na wyższym szczeblu łańcucha dostaw</t>
  </si>
  <si>
    <t>4. Transporte e Distribuição a Montante</t>
  </si>
  <si>
    <t>4. Transporte y distribución aguas arriba</t>
  </si>
  <si>
    <t>template_label_5_waste_generated_in_operations</t>
  </si>
  <si>
    <t>5. Waste Generated in Operations</t>
  </si>
  <si>
    <t>5. Atliekos, susidarančios vykdant veiklą</t>
  </si>
  <si>
    <t>5. Odpady powstałe w trakcie działalności operacyjnej</t>
  </si>
  <si>
    <t>5. Resíduos Gerados nas Operações</t>
  </si>
  <si>
    <t>5. Residuos generados en las operaciones</t>
  </si>
  <si>
    <t>template_label_6_business_travel</t>
  </si>
  <si>
    <t>6. Business Travel</t>
  </si>
  <si>
    <t>6. Verslo kelionės</t>
  </si>
  <si>
    <t>6. Podróże służbowe</t>
  </si>
  <si>
    <t>6. Viagens de Negócios</t>
  </si>
  <si>
    <t>6. Viajes de negocios</t>
  </si>
  <si>
    <t>template_label_7_employee_commuting</t>
  </si>
  <si>
    <t>7. Employee Commuting</t>
  </si>
  <si>
    <t>7. Darbuotojų kelionės į ir iš darbo</t>
  </si>
  <si>
    <t>7. Dojazdy pracowników</t>
  </si>
  <si>
    <t>7. Deslocação dos Empregados</t>
  </si>
  <si>
    <t>7. Desplazamiento de empleados</t>
  </si>
  <si>
    <t>template_label_8_upstream_leased_assets</t>
  </si>
  <si>
    <t>8. Upstream Leased Assets</t>
  </si>
  <si>
    <t>8.  Priešsrovinis išnuomotas turtas</t>
  </si>
  <si>
    <t>8. Dzierżawione aktywa na wyższym szczeblu łańcucha wartości</t>
  </si>
  <si>
    <t>8. Ativos Arrendados a Montante</t>
  </si>
  <si>
    <t>Activos arrendados aguas arriba</t>
  </si>
  <si>
    <t>template_label_9_downstream_transportation_and_distribution</t>
  </si>
  <si>
    <t>9. Downstream Transportation and Distribution</t>
  </si>
  <si>
    <t>9. Pasrovinis transportavimas ir paskirstymas</t>
  </si>
  <si>
    <t>9. Transport i dystrybucja na niższym szczeblu łańcucha wartości</t>
  </si>
  <si>
    <t>9. Transporte e Distribuição a Jusante</t>
  </si>
  <si>
    <t>9. Transporte y distribución aguas abajo</t>
  </si>
  <si>
    <t>template_label_10_processing_of_sold_products</t>
  </si>
  <si>
    <t>10. Processing of Sold Products</t>
  </si>
  <si>
    <t>10. Parduotų produktų apdorojimas</t>
  </si>
  <si>
    <t>10. Przetwarzanie sprzedanych produktów</t>
  </si>
  <si>
    <t>10. Processamento dos Produtos Vendidos</t>
  </si>
  <si>
    <t>10. Procesamiento de productos vendidos</t>
  </si>
  <si>
    <t>template_label_11_use_of_sold_products</t>
  </si>
  <si>
    <t>11. Use of Sold Products</t>
  </si>
  <si>
    <t>11. Parduotų produktų naudojimas</t>
  </si>
  <si>
    <t>11. Wykorzystanie sprzedanych produktów</t>
  </si>
  <si>
    <t>11. Uso de Produtos Vendidos</t>
  </si>
  <si>
    <t>11. Uso de productos vendidos</t>
  </si>
  <si>
    <t>template_label_12_end_of_life_treatment_of_sold_products</t>
  </si>
  <si>
    <t>12. End-of-Life Treatment of Sold Products</t>
  </si>
  <si>
    <t>12. Parduotų produktų tvarkymas gyvavimo ciklo pabaigoje</t>
  </si>
  <si>
    <t>12. Wycofanie z eksploatacji sprzedanych produktów</t>
  </si>
  <si>
    <t>12. Tratamento de Fim de Vida dos Produtos Vendidos</t>
  </si>
  <si>
    <t>12. Tratamiento al final de la vida útil de los productos vendidos</t>
  </si>
  <si>
    <t>template_label_13_downstream_leased_assets</t>
  </si>
  <si>
    <t>13. Downstream Leased Assets</t>
  </si>
  <si>
    <t>13. Pasrovinis išnuomotas turtas</t>
  </si>
  <si>
    <t>13. Aktywa dzierżawione na niższym szczeblu łańcucha wartości</t>
  </si>
  <si>
    <t>13. Ativos Arrendados a Jusante</t>
  </si>
  <si>
    <t>13. Activos arrendados aguas abajo</t>
  </si>
  <si>
    <t>template_label_14_franchises</t>
  </si>
  <si>
    <t>14. Franchises</t>
  </si>
  <si>
    <t>14. Franšizės</t>
  </si>
  <si>
    <t>14. Franczyzy</t>
  </si>
  <si>
    <t>14. Franquias</t>
  </si>
  <si>
    <t>14. Franquicias</t>
  </si>
  <si>
    <t>template_label_15_investments</t>
  </si>
  <si>
    <t>15. Investments</t>
  </si>
  <si>
    <t>Investicijos</t>
  </si>
  <si>
    <t>15. Inwestycje</t>
  </si>
  <si>
    <t>15. Investimentos</t>
  </si>
  <si>
    <t>15. Inversiones</t>
  </si>
  <si>
    <t>template_label_total_scope_3_ghg_emissions</t>
  </si>
  <si>
    <t>Total Scope 3 GHG  emissions</t>
  </si>
  <si>
    <t>Bedrosiosios trečios apimties (ŠESD) emisijos</t>
  </si>
  <si>
    <t>Całkowite emisje gazów cieplarnianych zakresu 3</t>
  </si>
  <si>
    <t>Emissões totais de GEE de Âmbito 3</t>
  </si>
  <si>
    <t>Emisiones totales de GEI de Alcance 3</t>
  </si>
  <si>
    <t>template_label_total_scope_1_scope_2_and_scope_3_ghg_emissions_location_based</t>
  </si>
  <si>
    <t>Total Scope 1 Scope 2 and Scope 3 GHG Emissions (location-based)</t>
  </si>
  <si>
    <t>Bendrosios pirmos, antros (vietos metodu) ir trečios apimties ŠESD emisijos</t>
  </si>
  <si>
    <t>Całkowite emisje gazów cieplarnianych zakresu 1, zakresu 2 i zakresu 3 (według metody opartej na lokalizacji)</t>
  </si>
  <si>
    <t>Emissões brutas totais de GEE de Âmbito 1, Âmbito 2 e Âmbito 3 (baseadas na localização)</t>
  </si>
  <si>
    <t>Emisiones totales de GEI de Alcance 1, Alcance 2 y Alcance 3 (basadas en la ubicación)</t>
  </si>
  <si>
    <t>template_label_total_scope_1_scope_2_and_scope_3_ghg_emissions_market_based</t>
  </si>
  <si>
    <t>Total Scope 1 Scope 2 and Scope 3 GHG Emissions (market-based)</t>
  </si>
  <si>
    <t>Bendrosios pirmos, antros (rinkos metodu) ir trečios apimties ŠESD emisijos</t>
  </si>
  <si>
    <t>Całkowite emisje gazów cieplarnianych zakresu 1, zakresu 2 i zakresu 3 (według metody opartej na rynku)</t>
  </si>
  <si>
    <t>Emissões totais de GEE de Âmbito 1, Âmbito 2 e Âmbito 3 (baseadas no mercado)</t>
  </si>
  <si>
    <t>Emisiones totales de gases de efecto invernadero de Alcance 1, Alcance 2 y Alcance 3 (basadas en el mercado)</t>
  </si>
  <si>
    <t>template_label_c3_disclosure_of_list_of_main_actions_the_entity_seeks_in_order_to_achieve_its_targets</t>
  </si>
  <si>
    <t>C3 - Disclosure of list of main actions the entity seeks in order to achieve its targets</t>
  </si>
  <si>
    <t>C3 – Pagrindinių veiksmų, kuriuos įmonė numato įgyvendinti siekdama savo tikslų, sąrašo atskleidimas</t>
  </si>
  <si>
    <t>C3 - wykaz głównych działań, które jednostka zamierza wdrożyć, aby osiągnąć swoje cele</t>
  </si>
  <si>
    <t>C3 - Divulgação da lista das principais ações que a entidade pretende implementar para atingir os seus objetivos</t>
  </si>
  <si>
    <t>C3 - Divulgación de la lista de principales actuaciones que la entidad busca llevar a cabo para alcanzar sus metas</t>
  </si>
  <si>
    <t>template_label_c3_transition_plan_for_undertakings_operating_in_high_climate_impact_sectors</t>
  </si>
  <si>
    <t>C3 - Transition plan for undertakings operating in high climate impact sectors</t>
  </si>
  <si>
    <t>C3 – Perėjimo planas įmonėms, veikiančioms didelio poveikio klimatui sektoriuose</t>
  </si>
  <si>
    <t>C3 – Plan transformacji dla jednostek prowadzących działalność w sektorach o znacznym oddziaływaniu na klimat</t>
  </si>
  <si>
    <t>C3 - Plano de transição para empresas que operam em setores com elevado impacto climático</t>
  </si>
  <si>
    <t>C3 - Plan de transición para empresas que operan en sectores de alto impacto climático</t>
  </si>
  <si>
    <t>template_label_is_the_undertaking_operating_in_high_impact_sectors</t>
  </si>
  <si>
    <t>Is the undertaking operating in high impact sectors?</t>
  </si>
  <si>
    <t>Ar įmonė veikia didelio poveikio klimatui sektoriuose?</t>
  </si>
  <si>
    <t>Czy jednostka prowadzi działalność w sektorach o znacznym oddziaływaniu na klimat?</t>
  </si>
  <si>
    <t>A Empresa opera em setores de elevado impacto?</t>
  </si>
  <si>
    <t>¿La empresa opera en sectores de alto impacto?</t>
  </si>
  <si>
    <t>template_label_status_of_implementation_of_a_transition_plan_in_relation_to_climate_change_mitigation</t>
  </si>
  <si>
    <t>Status of implementation of a transition plan in relation to climate change mitigation</t>
  </si>
  <si>
    <t>Perėjimo plano įgyvendinimo statusas klimato kaitos švelninimo atžvilgiu</t>
  </si>
  <si>
    <t>Status wdrożenia planu transformacji w związku z łagodzeniem zmian klimatu</t>
  </si>
  <si>
    <t>Estado da implementação de um plano de transição relacionado com a mitigação das alterações climáticas</t>
  </si>
  <si>
    <t>Estado de implementación de un plan de transición en relación con la mitigación del cambio climático</t>
  </si>
  <si>
    <t>template_label_description_of_a_transition_plan_for_climate_change_mitigation</t>
  </si>
  <si>
    <t>Description of a transition plan for climate change mitigation including an explanation of how it is contributing to reduce GHG emissions</t>
  </si>
  <si>
    <t xml:space="preserve">Kklimato kaitos sušvelninimo pereinamojo laikotarpio plano aprašymas, įskaitant paaiškinimą, kaip jis prisideda prie ŠESD emisijų mažinimo
</t>
  </si>
  <si>
    <t>Opis planu transformacji na rzecz łagodzenia zmian klimatu wraz z wyjaśnieniem, w jaki sposób przyczynia się on do redukcji emisji gazów cieplarnianych</t>
  </si>
  <si>
    <t>Descrição de um plano de transição para a mitigação das alterações climáticas, incluindo uma explicação de como está a contribuir para a redução das emissões de GEE</t>
  </si>
  <si>
    <t>Descripción de un plan de transición para la mitigación del cambio climático, incluida una explicación de cómo contribuye a reducir las emisiones de gases de efecto invernadero (GEI)</t>
  </si>
  <si>
    <t>template_label_date_of_foreseen_adoption_of_transition_plan_for_undertaking_not_having_adopted_transition_plan_yet</t>
  </si>
  <si>
    <t>Date of foreseen adoption of transition plan for undertaking not having adopted transition plan yet</t>
  </si>
  <si>
    <t>Numatoma pereinamojo plano patvirtinimo data įmonei, kuri dar nėra pasitvirtinusi pereinamojo plano</t>
  </si>
  <si>
    <t>Data przewidywanego przyjęcia planu transformacji dla jednostki, która jeszcze nie przyjęła planu transformacji</t>
  </si>
  <si>
    <t>Data de adoção prevista do plano de transição para a entidade que ainda não adotou um plano de transição</t>
  </si>
  <si>
    <t>Fecha prevista de adopción del plan de transición para la empresa que aún no ha adoptado un plan de transición</t>
  </si>
  <si>
    <t>template_label_year</t>
  </si>
  <si>
    <t>Metai</t>
  </si>
  <si>
    <t>Rok</t>
  </si>
  <si>
    <t>Ano</t>
  </si>
  <si>
    <t>Año</t>
  </si>
  <si>
    <t>template_label_month</t>
  </si>
  <si>
    <t>Mėnuo</t>
  </si>
  <si>
    <t>Miesiąc</t>
  </si>
  <si>
    <t>Mês</t>
  </si>
  <si>
    <t>Mes</t>
  </si>
  <si>
    <t>template_label_day</t>
  </si>
  <si>
    <t>Day</t>
  </si>
  <si>
    <t>Diena</t>
  </si>
  <si>
    <t>Dzień</t>
  </si>
  <si>
    <t>Dia</t>
  </si>
  <si>
    <t>Día</t>
  </si>
  <si>
    <t>template_label_b3_greenhouse_gas_emission_intensity_per_turnover</t>
  </si>
  <si>
    <t>B3 - Greenhouse gas emission intensity per turnover (in tCO2e)</t>
  </si>
  <si>
    <t>B3 - Šiltnamio efektą sukeliančių dujų (ŠESD) intensyvumas pagal apyvartą (tCO2e)</t>
  </si>
  <si>
    <t>B3 - Intensywność emisji gazów cieplarnianych na jednostkę obrotu (w tCO2e)</t>
  </si>
  <si>
    <t>B3 - Intensidade das emissões de gases com efeito de estufa por volume de negócios (em teCO2)</t>
  </si>
  <si>
    <t>B3 - Intensidad de las emisiones de gases de efecto invernadero por facturación (en tCO2e)</t>
  </si>
  <si>
    <t>template_label_scope_1_and_scope_2_ghg_emissions_intensity_location_based</t>
  </si>
  <si>
    <t>Scope 1 and Scope 2 GHG Emissions intensity (location-based)</t>
  </si>
  <si>
    <t>Pirmos ir antros apimties (vietos metodu) ŠESD emisijų intensyvumas</t>
  </si>
  <si>
    <t>Intensywność emisji gazów cieplarnianych z zakresu 1 i zakresu 2 (według metody opartej na lokalizacji)</t>
  </si>
  <si>
    <t>Intensidade das emissões de GEE do Âmbito 1 e 2 (baseadas na localização)</t>
  </si>
  <si>
    <t>Intensidad de las emisiones de GEI de Alcance 1 y Alcance 2 (basada en la ubicación)</t>
  </si>
  <si>
    <t>template_label_scope_1_and_scope_2_ghg_emissions_intensity_market_based</t>
  </si>
  <si>
    <t>Scope 1 and Scope 2 GHG Emissions intensity (market-based)</t>
  </si>
  <si>
    <t>Pirmos ir antros apimties (rinkos metodu) ŠESD emisijų intensyvumas</t>
  </si>
  <si>
    <t>Intensywność emisji gazów cieplarnianych z zakresu 1 i zakresu 2 (według metody opartej na rynku)</t>
  </si>
  <si>
    <t>Intensidade das emissões de GEE do Âmbito 1 e 2 (baseadas no mercado)</t>
  </si>
  <si>
    <t>Intensidad de las emisiones de GEI de Alcance 1 y Alcance 2 (basado en el mercado)</t>
  </si>
  <si>
    <t>template_label_total_scope_1_scope_2_and_scope_3_ghg_emissions_intensity_location_based</t>
  </si>
  <si>
    <t>Total Scope 1 Scope 2 and Scope 3 GHG Emissions intensity (location-based)</t>
  </si>
  <si>
    <t>Bendras pirmos, antros (vietos metodu) ir trečios apimties ŠESD emisijų intensyvumas</t>
  </si>
  <si>
    <t>Całkowita intensywność emisji gazów cieplarnianych z zakresu 1 i zakresu 2 (według metody opartej na lokalizacji)</t>
  </si>
  <si>
    <t>Intensidade total das emissões de GEE do Âmbito 1, Âmbito 2 e Âmbito 3 (baseadas na localização)</t>
  </si>
  <si>
    <t>Intensidad total de emisiones de GEI Alcance 1, Alcance 2 y Alcance 3 (basada en la ubicación)</t>
  </si>
  <si>
    <t>template_label_total_scope_1_scope_2_and_scope_3_ghg_emissions_intensity_market_based</t>
  </si>
  <si>
    <t>Total Scope 1 Scope 2 and Scope 3 GHG Emissions intensity (market-based)</t>
  </si>
  <si>
    <t>Bendras pirmos, antros (rinkos metodu) ir trečios apimties ŠESD emisijų intensyvumas</t>
  </si>
  <si>
    <t>Całkowita intensywność emisji gazów cieplarnianych zakresu 1, zakresu 2 i zakresu 3 (według metody opartej na rynku)</t>
  </si>
  <si>
    <t>Intensidade total das emissões de GEE do Âmbito 1, Âmbito 2 e Âmbito 3 (baseadas no mercado)</t>
  </si>
  <si>
    <t>Intensidad total de emisiones de GEI de Alcance 1, Alcance 2 y Alcance 3 (basada en el mercado)</t>
  </si>
  <si>
    <t>template_label_b4_pollution_of_air_water_and_soil</t>
  </si>
  <si>
    <t>B4 – Pollution of air water and soil</t>
  </si>
  <si>
    <t>B4 – Oro, vandens ir dirvožemio tarša</t>
  </si>
  <si>
    <t>B4 — Poluição do ar, da água e do solo</t>
  </si>
  <si>
    <t>template_label_required_by_law_or_other_national_regulations_to_report_to_competent_authorities_its_emissions_of_pollutants</t>
  </si>
  <si>
    <t>Is the undertaking already required by law or other national regulations to report to competent authorities its emissions of pollutants or does it already voluntarily report on them according to an Environmental Management System?</t>
  </si>
  <si>
    <t>Ar ūkio subjektas jau pagal įstatymą ar kitus nacionalinius reglamentus privalo pranešti kompetentingoms institucijoms apie teršalų išmetimą ar jau savanoriškai apie juos praneša pagal Aplinkos valdysenos sistemą?</t>
  </si>
  <si>
    <t>Czy jednostka jest już zobowiązana przepisami prawa lub innymi krajowymi regulacjami do zgłaszania właściwym organom emisji zanieczyszczeń lub czy zgłasza je dobrowolnie zgodnie z systemem zarządzania środowiskowego?</t>
  </si>
  <si>
    <t>A entidade já é obrigada por lei ou outros regulamentos nacionais a relatar às autoridades competentes as suas emissões de poluentes ou já as reporta voluntariamente de acordo com um Sistema de Gestão Ambiental?</t>
  </si>
  <si>
    <t>¿La empresa ya está legalmente obligada por la ley u otras normativas nacionales a informar a las autoridades competentes sobre sus emisiones de contaminantes o ya las informa voluntariamente conforme a un Sistema de Gestión Ambiental?</t>
  </si>
  <si>
    <t>template_label_is_this_disclosure_already_publicly_available</t>
  </si>
  <si>
    <t>Is this disclosure already publicly available?</t>
  </si>
  <si>
    <t>Ar šis atskleidimas jau yra viešai prieinamas?</t>
  </si>
  <si>
    <t>Czy to ujawnienie jest już publicznie dostępne?</t>
  </si>
  <si>
    <t>Esta divulgação já está disponível publicamente?</t>
  </si>
  <si>
    <t>¿Esta divulgación ya está públicamente disponible?</t>
  </si>
  <si>
    <t>template_label_please_provide_the_relevant_url_link_or_hyperlink_of_where_this_information_is_reported</t>
  </si>
  <si>
    <t>Please provide the relevant URL link or hyperlink of where this information is reported</t>
  </si>
  <si>
    <t>Prašome nurodyti aktualią nuorodą (URL) į šios informacijos skelbimo vietą</t>
  </si>
  <si>
    <t>Proszę podać odpowiedni odnośnik URL lub hiperłącze do miejsca, w którym informacje te są podane</t>
  </si>
  <si>
    <t>Por favor, forneça o link URL relevante ou a hiperligação onde esta informação é reportada.</t>
  </si>
  <si>
    <t>Por favor, proporcione el enlace URL relevante o el hipervínculo donde se informa esta información.</t>
  </si>
  <si>
    <t>template_label_please_select_the_unit_used_for_reporting_the_amount</t>
  </si>
  <si>
    <t>Please select the unit used for reporting the amount (i.e. either kg or tonne)</t>
  </si>
  <si>
    <t>Pasirinkite matavimo vienetą, kuriuo pateiksite kiekį (t. y. kg arba t).</t>
  </si>
  <si>
    <t>Proszę wybrać jednostkę używaną do sprawozdania ilości (tj. kg lub tona)</t>
  </si>
  <si>
    <t>Por favor, selecione a unidade utilizada para reportar o montante (i.e. kg ou tonelada)</t>
  </si>
  <si>
    <t>Por favor, seleccione la unidad utilizada para informar la cantidad (es decir, ya sea kg o tonelada)</t>
  </si>
  <si>
    <t>template_label_row_id</t>
  </si>
  <si>
    <t>Row ID</t>
  </si>
  <si>
    <t>Eilutės ID</t>
  </si>
  <si>
    <t>Identyfikator wiersza</t>
  </si>
  <si>
    <t>ID da linha</t>
  </si>
  <si>
    <t>ID de fila</t>
  </si>
  <si>
    <t>template_label_pollutant</t>
  </si>
  <si>
    <t>Pollutant</t>
  </si>
  <si>
    <t>Teršalas</t>
  </si>
  <si>
    <t>Czynnik zanieczyszczający</t>
  </si>
  <si>
    <t>Poluente</t>
  </si>
  <si>
    <t>Contaminante</t>
  </si>
  <si>
    <t>template_label_emission_to_air</t>
  </si>
  <si>
    <t>Emission to air</t>
  </si>
  <si>
    <t>Išmetimas į orą</t>
  </si>
  <si>
    <t>Emisja do powietrza</t>
  </si>
  <si>
    <t>Emissão para o ar</t>
  </si>
  <si>
    <t>Emisiones a la atmosfera</t>
  </si>
  <si>
    <t>template_label_emission_to_water</t>
  </si>
  <si>
    <t>Emission to water</t>
  </si>
  <si>
    <t>Išmetimas į vandenį</t>
  </si>
  <si>
    <t>Emisja do wody</t>
  </si>
  <si>
    <t>Emissão para a água</t>
  </si>
  <si>
    <t>Vertidos al agua</t>
  </si>
  <si>
    <t>template_label_emission_to_soil</t>
  </si>
  <si>
    <t>Emission to soil</t>
  </si>
  <si>
    <t>Išmetimas į dirvožemį</t>
  </si>
  <si>
    <t>Emisja do gleby</t>
  </si>
  <si>
    <t>Emissão para o solo</t>
  </si>
  <si>
    <t>Vertidos al suelo</t>
  </si>
  <si>
    <t>template_label_b5_sites_in_biodiversity_sensitive_areas</t>
  </si>
  <si>
    <t>B5 - Sites in biodiversity sensitive areas</t>
  </si>
  <si>
    <t>B5 - Veiklos objektai biologinei įvairovei jautriose teritorijose</t>
  </si>
  <si>
    <t>B5 – Lokalizacje położone na obszarach wrażliwych pod względem bioróżnorodności</t>
  </si>
  <si>
    <t>B5 – Locais em áreas sensíveis à biodiversidade</t>
  </si>
  <si>
    <t>B5 – Emplazamientos en zonas sensibles en cuanto a la biodiversidad</t>
  </si>
  <si>
    <t>template_label_does_the_undertaking_have_sites_that_are_located_in_or_near_biodiversity_sensitive_areas</t>
  </si>
  <si>
    <t>Does the undertaking have sites that are located in or near biodiversity sensitive areas?</t>
  </si>
  <si>
    <t>Ar įmonė turi veiklos objektų, kurie yra biloginei įvairovei jautriose teritorijose arba netoli jų?</t>
  </si>
  <si>
    <t>Czy jednostka posiada lokalizacje znajdujące się na obszarach wrażliwych pod względem bioróżnorodności lub w ich pobliżu?</t>
  </si>
  <si>
    <t>A empresa tem locais de atividade que estão localizados em ou próximos de zonas sensíveis do ponto de vista da biodiversidade?</t>
  </si>
  <si>
    <t xml:space="preserve">¿La empresa tiene emplazamientos situados en o cerca de zonas sensibles en cuanto a la biodiversidad? 
</t>
  </si>
  <si>
    <t>template_label_please_select_the_unit_used_for_the_area</t>
  </si>
  <si>
    <t>Please select the unit used for the area (i.e. either hectares or m²):</t>
  </si>
  <si>
    <t>Pasirinkite ploto matavimo vienetą (t. y. ha arba m²):</t>
  </si>
  <si>
    <t>Proszę wybrać jednostkę używaną do sprawozdania powierzchni (tj. hektary lub m²):</t>
  </si>
  <si>
    <t>Por favor, selecione a unidade usada para a área (ou seja, hectares ou m²):</t>
  </si>
  <si>
    <t>Por favor, seleccione la unidad que se utiliza para el área (es decir, hectáreas o m²):</t>
  </si>
  <si>
    <t>template_label_related_site_id</t>
  </si>
  <si>
    <t>Related Site ID (select an ID from a site location reported in B1)</t>
  </si>
  <si>
    <t>Susijusios vietos (objekto) ID (pasirinkite ID iš B1 nurodytų vietų)</t>
  </si>
  <si>
    <t>Identyfikator powiązanej lokalizacji (wybierz identyfikator z lokalizacji zgłoszonej w B1)</t>
  </si>
  <si>
    <t>ID do Local Relacionado (selecione um ID de uma localização do local reportado em B1)</t>
  </si>
  <si>
    <t>ID del sitio relacionado (seleccione un ID de una ubicación del sitio reportada en B1)</t>
  </si>
  <si>
    <t>template_label_site_location_in_near_a_biodiversity_area</t>
  </si>
  <si>
    <t>Site Location in near a biodiversity area - auto filled from B1</t>
  </si>
  <si>
    <t>Objekto buvimas biologinės įvairovės teritorijoje ar šalia jos – automatiškai perkelta iš B1</t>
  </si>
  <si>
    <t>Lokalizacja w pobliżu obszarów wrażliwych pod względem bioróżnorodności – automatycznie wypełniona z B1</t>
  </si>
  <si>
    <t>Localização do sítio perto de uma área de biodiversidade - preenchido automaticamente a partir do B1</t>
  </si>
  <si>
    <t xml:space="preserve">Ubicación del sitio cerca de un área de biodiversidad - completado automáticamente desde B1
</t>
  </si>
  <si>
    <t>template_label_area_hectares_or_m2</t>
  </si>
  <si>
    <t>Area (hectares or m² based on the selection above)</t>
  </si>
  <si>
    <t>Plotas (ha arba m², pagal aukščiau pasirinktą vienetą)</t>
  </si>
  <si>
    <t>Obszar (w hektarach lub m² na podstawie powyższego wyboru)</t>
  </si>
  <si>
    <t>Área (hectares ou m² com base na seleção acima)</t>
  </si>
  <si>
    <t>Área (hectáreas o m² según la selección anterior)</t>
  </si>
  <si>
    <t>template_label_site_located_in_a_biodiversity_sensitive_area</t>
  </si>
  <si>
    <t>Site located in a biodiversity sensitive area</t>
  </si>
  <si>
    <t>Objektas yra biologinei įvairovei jautrioje teritorijoje</t>
  </si>
  <si>
    <t>Lokalizacja znajdująca się na obszarach wrażliwych pod względem bioróżnorodności</t>
  </si>
  <si>
    <t>Sítio localizado numa zona sensível à biodiversidade</t>
  </si>
  <si>
    <t>Emplazamiento situado en una zona sensible en cuanto a la biodiversidad</t>
  </si>
  <si>
    <t>template_label_site_located_near_a_biodiversity_sensitive_area</t>
  </si>
  <si>
    <t>Site located near a biodiversity sensitive area</t>
  </si>
  <si>
    <t>Objektas yra šalia biologinei įvairovei jautrios teritorijos</t>
  </si>
  <si>
    <t>Lokalizacja znajdująca się w pobliżu obszarów wrażliwych pod względem bioróżnorodności</t>
  </si>
  <si>
    <t>Sítio localizado perto de uma zona sensível à biodiversidade</t>
  </si>
  <si>
    <t>Emplazamiento situado cerca de una zona sensible en cuanto a la biodiversidad</t>
  </si>
  <si>
    <t>template_label_b5_biodiversity_land_use</t>
  </si>
  <si>
    <t>B5 - Biodiversity - Land-use</t>
  </si>
  <si>
    <t>B5 - Biologinė įvairovė - Žemės naudojimas</t>
  </si>
  <si>
    <t>B5 – Bioróżnorodność – Użytkowanie gruntów</t>
  </si>
  <si>
    <t>B5 – Biodiversidade – Utilização do solo</t>
  </si>
  <si>
    <t>B5 - Biodiversidad - Uso del suelo</t>
  </si>
  <si>
    <t>template_label_land_use_type</t>
  </si>
  <si>
    <t>Land-use type</t>
  </si>
  <si>
    <t>Žemės naudojimo tipas</t>
  </si>
  <si>
    <t xml:space="preserve"> </t>
  </si>
  <si>
    <t>Tipo de uso do solo</t>
  </si>
  <si>
    <t>Tipo de uso de la tierra</t>
  </si>
  <si>
    <t>template_label_area</t>
  </si>
  <si>
    <t>Area</t>
  </si>
  <si>
    <t>Plotas</t>
  </si>
  <si>
    <t>Powierzchnia</t>
  </si>
  <si>
    <t>Área</t>
  </si>
  <si>
    <t>template_label_total_sealed_area</t>
  </si>
  <si>
    <t>Total sealed area</t>
  </si>
  <si>
    <t>Bendras nepralaidžios dangos plotas</t>
  </si>
  <si>
    <t>Całkowita powierzchnia nieprzepuszczalna</t>
  </si>
  <si>
    <t>Superfície total de área confinada</t>
  </si>
  <si>
    <t>Superficie sellada total</t>
  </si>
  <si>
    <t>template_label_total_nature_oriented_area_on_site</t>
  </si>
  <si>
    <t>Total nature-oriented area on-site</t>
  </si>
  <si>
    <t>Bendras gamtai palankių teritorijų plotas objekto teritorijoje</t>
  </si>
  <si>
    <t>Całkowity obszar ukierunkowany na naturę w danej lokalizacji</t>
  </si>
  <si>
    <t>Superfície total de zona orientada para a natureza no local de atividade</t>
  </si>
  <si>
    <t>Superficie total en el emplazamiento orientada según la naturaleza</t>
  </si>
  <si>
    <t>template_label_total_nature_oriented_area_off_site</t>
  </si>
  <si>
    <t>Total nature-oriented area off-site</t>
  </si>
  <si>
    <t>Bendras gamtai palankių teritorijų plotas ne objekto teritorijoje</t>
  </si>
  <si>
    <t>Całkowity obszar ukierunkowany na naturę poza daną lokalizacją</t>
  </si>
  <si>
    <t>Superfície total de zona orientada para a natureza fora do local de atividade</t>
  </si>
  <si>
    <t>Superficie total fuera del emplazamiento orientada según la naturaleza</t>
  </si>
  <si>
    <t>template_label_total_use_of_land</t>
  </si>
  <si>
    <t>Total use of land</t>
  </si>
  <si>
    <t>Bendras žemės naudojimas</t>
  </si>
  <si>
    <t>Całkowite użytkowanie gruntów</t>
  </si>
  <si>
    <t>Uso total do solo</t>
  </si>
  <si>
    <t>Uso total de la tierra</t>
  </si>
  <si>
    <t>template_label_b6_water_withdrawal</t>
  </si>
  <si>
    <t>B6 - Water Withdrawal</t>
  </si>
  <si>
    <t>B6 – Vandens išgavimas</t>
  </si>
  <si>
    <t>B6 – Pobór wody</t>
  </si>
  <si>
    <t>B6 — Captação de água</t>
  </si>
  <si>
    <t>template_label_total_amount_of_water_withdrawn_from_all_sites</t>
  </si>
  <si>
    <t>Total amount of water withdrawn from all sites (cubic meters m³)</t>
  </si>
  <si>
    <t>Bendras vandens kiekis, paimtas iš visų vietovių (kubiniais metrais m³)</t>
  </si>
  <si>
    <t>Całkowita ilość pobranej wody ze wszystkich lokalizacji (m³)</t>
  </si>
  <si>
    <t>Montante total de água retirada de todos os locais (metros cúbicos m³)</t>
  </si>
  <si>
    <t>Cantidad total de agua extraída de todos los emplazamientos (metros cúbicos m³)</t>
  </si>
  <si>
    <t>template_label_amount_of_water_withdrawn_at_sites_located_in_areas_of_high_water_stress</t>
  </si>
  <si>
    <t>Amount of water withdrawn at sites located in areas of high water-stress (cubic meters m³)</t>
  </si>
  <si>
    <t>Imamo vandens kiekis vietose, esančiose didelio vandens stygiaus zonose (kubiniais metrais m³)</t>
  </si>
  <si>
    <t>Ilość wody pobranej w lokalizacjach położonych na obszarach o wysokim deficycie wody (metry sześcienne m³)</t>
  </si>
  <si>
    <t>Quantidade de água captada em locais situados em áreas de elevado stress hídrico (metros cúbicos m³)</t>
  </si>
  <si>
    <t>Cantidad de agua extraída en emplazamientos situados en zonas con un alto estrés hídrico (metros cúbicos m³)</t>
  </si>
  <si>
    <t>template_label_b6_water_consumption</t>
  </si>
  <si>
    <t>B6 - Water Consumption</t>
  </si>
  <si>
    <t>B6 – Vandens suvartojimas</t>
  </si>
  <si>
    <t>B6 - Zużycie wody</t>
  </si>
  <si>
    <t>B6 - Consumo de água</t>
  </si>
  <si>
    <t xml:space="preserve">B6 - Consumo de agua
</t>
  </si>
  <si>
    <t>template_label_does_the_undertaking_have_production_processes_in_place_which_significantly_consume_water</t>
  </si>
  <si>
    <t>Does the undertaking have production processes in place which significantly consume water (e.g. thermal energy processes like drying or power production production of goods agricultural irrigation etc.)?</t>
  </si>
  <si>
    <t>Ar įmonė turi gamybos procesus, kurie reikšmingai sunaudoja vandenį (pvz., terminės energijos procesai, tokie kaip džiovinimas ar elektros energijos gamyba, prekių gamyba, žemės ūkio laistymas ir pan.)?</t>
  </si>
  <si>
    <t>Czy jednostka prowadzi procesy produkcyjne, które wiążą się ze znacznym zużyciem wody (np. procesy wykorzystujące energię cieplną, takie jak suszenie lub produkcja energii elektrycznej, produkcja towarów, nawadnianie w rolnictwie itp.)?</t>
  </si>
  <si>
    <t>A empresa dispõe de processos de produção com consumos significativos de água (por exemplo, processos de energia térmica como secagem ou produção de energia, produção de bens, irrigação agrícola, etc.)?</t>
  </si>
  <si>
    <t xml:space="preserve">¿La empresa cuenta con procesos de producción que consumen una cantidad significativa de agua (por ejemplo, procesos de energía térmica como el secado o la producción de energía, producción de bienes, riego agrícola, etc.)? 
</t>
  </si>
  <si>
    <t>template_label_water_discharge_from_undertaking_production_processes</t>
  </si>
  <si>
    <t>Water discharge from undertaking production processes (m³)</t>
  </si>
  <si>
    <t>Vandens išleidimas iš įmonės gamybos procesų (m³)</t>
  </si>
  <si>
    <t>Zrzut wody z procesów produkcyjnych jednostki (m³)</t>
  </si>
  <si>
    <t>Descarga de água dos processos de produção da entidade (m³)</t>
  </si>
  <si>
    <t>Vertido de agua procedente de los procesos de producción de la empresa (m³)</t>
  </si>
  <si>
    <t>template_label_total_water_consumption</t>
  </si>
  <si>
    <t>Total water consumption (m³)</t>
  </si>
  <si>
    <t>Bendras vandens suvartojimas (m³)</t>
  </si>
  <si>
    <t>Całkowite zużycie wody (m³)</t>
  </si>
  <si>
    <t>Consumo total de água (m³)</t>
  </si>
  <si>
    <t>Consumo total de agua (m³)</t>
  </si>
  <si>
    <t>template_label_b7_description_of_circular_economy_principles</t>
  </si>
  <si>
    <t>B7 - Description of circular economy principles</t>
  </si>
  <si>
    <t>B7 - Žiedinės ekonomikos principų aprašymas</t>
  </si>
  <si>
    <t>B7 – Opis zasad gospodarki o obiegu zamkniętym</t>
  </si>
  <si>
    <t>B7 - Descrição dos princípios da economia circular</t>
  </si>
  <si>
    <t>B7 – Descripción de los principios de la economía circular</t>
  </si>
  <si>
    <t>template_label_undertaking_applies_circular_economy_principles</t>
  </si>
  <si>
    <t>Undertaking applies circular economy principles</t>
  </si>
  <si>
    <t>Įmonė taiko žiedinės ekonomikos principus</t>
  </si>
  <si>
    <t>Jednostka stosuje zasady gospodarki o obiegu zamkniętym</t>
  </si>
  <si>
    <t>A empresa aplica os princípios da economia circular</t>
  </si>
  <si>
    <t>La empresa divulgará si aplica los principios de la economía circular y, en caso afirmativo, cómo los aplica.</t>
  </si>
  <si>
    <t>template_label_description_of_how_it_applies_these_principles</t>
  </si>
  <si>
    <t>Description of how it applies these principles</t>
  </si>
  <si>
    <t xml:space="preserve">Aprašymas, kaip taikomi šie principai
</t>
  </si>
  <si>
    <t>Opis sposobu stosowania tych zasad</t>
  </si>
  <si>
    <t>Descrição de como a empresa aplica estes princípios</t>
  </si>
  <si>
    <t>Descripción de cómo se aplican estos principios</t>
  </si>
  <si>
    <t>template_label_b7_waste_generated</t>
  </si>
  <si>
    <t>B7 - Waste generated</t>
  </si>
  <si>
    <t>B7 - Išmetamųjų atliekų kiekis</t>
  </si>
  <si>
    <t>B7 - Wytworzone odpady</t>
  </si>
  <si>
    <t>B7 - Resíduos gerados</t>
  </si>
  <si>
    <t>B7 – Uso de los residuos generados</t>
  </si>
  <si>
    <t>template_label_type_of_waste</t>
  </si>
  <si>
    <t>Type of waste</t>
  </si>
  <si>
    <t>Atliekų rūšis</t>
  </si>
  <si>
    <t>Typ odpadów</t>
  </si>
  <si>
    <t>Tipo de resíduos</t>
  </si>
  <si>
    <t>Tipo de residuos</t>
  </si>
  <si>
    <t>template_label_unit_of_measurement</t>
  </si>
  <si>
    <t>Matavimo vienetas</t>
  </si>
  <si>
    <t>Jednostka miary</t>
  </si>
  <si>
    <t>Unidade de medida</t>
  </si>
  <si>
    <t>Unidad de medida</t>
  </si>
  <si>
    <t>template_label_waste_diverted_to_recycle_or_reuse</t>
  </si>
  <si>
    <t>Waste diverted to recycle or reuse</t>
  </si>
  <si>
    <t>Atliekos, nukreiptos perdirbti arba pakartotinai naudoti</t>
  </si>
  <si>
    <t>Odpady kierowane do recyklingu lub ponownego użycia</t>
  </si>
  <si>
    <t>Resíduos desviados para reciclagem ou reutilização</t>
  </si>
  <si>
    <t>Residuos desviados para reciclar o reutilizar</t>
  </si>
  <si>
    <t>template_label_waste_directed_to_disposal</t>
  </si>
  <si>
    <t>Waste directed to disposal</t>
  </si>
  <si>
    <t>Atliekos, perduotos utilizavimui</t>
  </si>
  <si>
    <t>Odpady kierowane do unieszkodliwiania</t>
  </si>
  <si>
    <t>Resíduos destinados a eliminação</t>
  </si>
  <si>
    <t>Residuos dirigidos a eliminación</t>
  </si>
  <si>
    <t>template_label_total_waste_recycled_reused_and_directed_to_disposal</t>
  </si>
  <si>
    <t>Amount of waste recycled reused and directed to disposal</t>
  </si>
  <si>
    <t>Perdirbtų, pakartotinai panaudotų ir šalinimui nukreiptų atliekų kiekis</t>
  </si>
  <si>
    <t>Ilość odpadów kierowanych do recyklingu, ponownego użycia lub unieszkodliwienia</t>
  </si>
  <si>
    <t>Quantidade de resíduos reciclados, reutilizados e encaminhados para eliminação</t>
  </si>
  <si>
    <t>Cantidad de residuos desviados para su reciclaje, reutilización y destinados a la eliminación</t>
  </si>
  <si>
    <t>template_label_total_hazardous_waste_generated_mass</t>
  </si>
  <si>
    <t>Total Hazardous waste generated (mass)</t>
  </si>
  <si>
    <t>Bendras susidariusių pavojingųjų atliekų kiekis (masė)</t>
  </si>
  <si>
    <t>Całkowita ilość wytworzonych odpadów niebezpiecznych (masa)</t>
  </si>
  <si>
    <t>Resíduos Perigosos totais gerados (massa)</t>
  </si>
  <si>
    <t>Residuo peligroso total generado (masa)</t>
  </si>
  <si>
    <t>template_label_total_amount_of_waste_generated</t>
  </si>
  <si>
    <t>Total amount of waste generated</t>
  </si>
  <si>
    <t>Bendras susidariusių atliekų kiekis</t>
  </si>
  <si>
    <t>Całkowita ilość wytwarzanych odpadów</t>
  </si>
  <si>
    <t>Quantidade total de resíduos gerados</t>
  </si>
  <si>
    <t>Cantidad total de residuos generados</t>
  </si>
  <si>
    <t>template_label_total_non_hazardous_waste_generated_mass</t>
  </si>
  <si>
    <t>Total Non-Hazardous waste generated (mass)</t>
  </si>
  <si>
    <t>Bendras nepavojingų atliekų kiekis (masė)</t>
  </si>
  <si>
    <t>Całkowita ilość wytworzonych odpadów innych niż niebezpieczne (masa)</t>
  </si>
  <si>
    <t>Resíduos Não Perigosos Totais Gerados (massa)</t>
  </si>
  <si>
    <t>Residuos no peligrosos generados totales (masa)</t>
  </si>
  <si>
    <t>template_label_total_waste_generated_mass</t>
  </si>
  <si>
    <t>Total waste generated (mass)</t>
  </si>
  <si>
    <t>Bendras atliekų kiekis (masė)</t>
  </si>
  <si>
    <t>Całkowita ilość wytwarzanych odpadów (masa)</t>
  </si>
  <si>
    <t>Produção total de resíduos (massa)</t>
  </si>
  <si>
    <t>Total de residuos generados (masa)</t>
  </si>
  <si>
    <t>template_label_total_hazardous_waste_generated_volume</t>
  </si>
  <si>
    <t>Total Hazardous waste generated (volume)</t>
  </si>
  <si>
    <t>Bendras pavojingų atliekų susidarymo kiekis (tūris)</t>
  </si>
  <si>
    <t>Całkowita ilość wytworzonych odpadów niebezpiecznych (objętość)</t>
  </si>
  <si>
    <t>Resíduos perigosos totais gerados (volume)</t>
  </si>
  <si>
    <t>Residuos peligrosos generados totales (volumen)</t>
  </si>
  <si>
    <t>template_label_cubic_meters</t>
  </si>
  <si>
    <t>cubic meters (m³)</t>
  </si>
  <si>
    <t>kubiniai metrai (m³)</t>
  </si>
  <si>
    <t>metr sześcienny (m³)</t>
  </si>
  <si>
    <t>metros cúbicos (m³)</t>
  </si>
  <si>
    <t>template_label_total_non_hazardous_waste_generated_volume</t>
  </si>
  <si>
    <t>Total Non-Hazardous waste generated (volume)</t>
  </si>
  <si>
    <t>Bendras nepavojingų atliekų kiekis (tūris)</t>
  </si>
  <si>
    <t>Całkowita ilość wytworzonych odpadów innych niż niebezpieczne (objętość)</t>
  </si>
  <si>
    <t>Resíduos não perigosos totais gerados (volume)</t>
  </si>
  <si>
    <t>Residuos no peligrosos totales generados (volumen)</t>
  </si>
  <si>
    <t>template_label_total_waste_generated_volume</t>
  </si>
  <si>
    <t>Total waste generated (volume)</t>
  </si>
  <si>
    <t>Bendras susidariusių atliekų kiekis (tūris)</t>
  </si>
  <si>
    <t>Całkowita ilość wytwarzanych odpadów (objętość)</t>
  </si>
  <si>
    <t>Produção total de resíduos (volume)</t>
  </si>
  <si>
    <t>Residuos totales generados (volumen)</t>
  </si>
  <si>
    <t>template_label_b7_annual_mass_flow_of_relevant_materials_used</t>
  </si>
  <si>
    <t>B7 – Annual mass-flow of relevant materials used</t>
  </si>
  <si>
    <t>B7 – Sunaudotų reikšmingų medžiagų kiekis</t>
  </si>
  <si>
    <t>B7 – Roczny przepływ masowy używanych istotnych materiałów</t>
  </si>
  <si>
    <t>B7 – Fluxo anual de massa de materiais relevantes utilizados</t>
  </si>
  <si>
    <t>B7 – Flujo anual de masa de materiales relevantes utilizados</t>
  </si>
  <si>
    <t>template_label_does_the_undertaking_operate_in_a_sector_using_significant_material_flows</t>
  </si>
  <si>
    <t>Does the undertaking the undertaking operate in a sector using significant material flows (for example manufacturing construction packaging or others)?</t>
  </si>
  <si>
    <t>Ar įmonė veikia sektoriuje, kuriame naudojami didelės apimties medžiagų srautai (pvz., gamyba, statyba, pakuočių sektorius ir kt.)?</t>
  </si>
  <si>
    <t>Czy jednostka prowadzi działalność w sektorze, w którym mają znaczenie znaczące przepływy materiałów (takim jak produkcja, budownictwo, branża opakowań lub inne)?</t>
  </si>
  <si>
    <t>A empresa opera num setor que utiliza fluxos significativos de materiais (por exemplo, fabrico, construção, embalagem ou outros)?</t>
  </si>
  <si>
    <t>¿Opera la empresa en un sector que utiliza flujos materiales significativos (por ejemplo, manufactura, construcción, embalaje u otros)?</t>
  </si>
  <si>
    <t>template_label_name_of_the_key_material</t>
  </si>
  <si>
    <t>Name of the key material</t>
  </si>
  <si>
    <t>Reikšmingos medžiagos pavadinimas</t>
  </si>
  <si>
    <t>Nazwa kluczowego materiału</t>
  </si>
  <si>
    <t>Nome do material essencial</t>
  </si>
  <si>
    <t>Nombre del material clave</t>
  </si>
  <si>
    <t>template_label_mass_volume</t>
  </si>
  <si>
    <t>Mass Volume</t>
  </si>
  <si>
    <t>Masė / Tūris</t>
  </si>
  <si>
    <t>Objętość masowa</t>
  </si>
  <si>
    <t>Volume em Massa</t>
  </si>
  <si>
    <t>Volumen de masa</t>
  </si>
  <si>
    <t>template_label_total_annual_mass_flow_of_relevant_materials_used_mass</t>
  </si>
  <si>
    <t>Total annual mass-flow of relevant materials used (mass in kg)</t>
  </si>
  <si>
    <t>Bendras metinis reikšmingų naudojamų medžiagų masės srautas (masė, kg)</t>
  </si>
  <si>
    <t>Całkowity roczny przepływ masowy używanych istotnych materiałów (masa w kg)</t>
  </si>
  <si>
    <t>Fluxo anual de massa total dos materiais relevantes utilizados (massa em kg)</t>
  </si>
  <si>
    <t>Flujo anual total de masa de materiales relevantes utilizados (masa en kg)</t>
  </si>
  <si>
    <t>template_label_kilograms</t>
  </si>
  <si>
    <t>kilogramai (kg)</t>
  </si>
  <si>
    <t>kilogramy (kg)</t>
  </si>
  <si>
    <t>quilogramas (kg)</t>
  </si>
  <si>
    <t>kilogramos (kg)</t>
  </si>
  <si>
    <t>template_label_total_annual_mass_flow_of_relevant_materials_used_volume</t>
  </si>
  <si>
    <t>Total annual mass-flow of relevant materials used (volume in m³)</t>
  </si>
  <si>
    <t>Bendras metinis reikšmingų naudojamų medžiagų srautas (tūris, m³)</t>
  </si>
  <si>
    <t>Całkowity roczny przepływ masowy używanych istotnych materiałów (objętość w m³)</t>
  </si>
  <si>
    <t>Fluxo de massa anual total dos materiais relevantes utilizados (volume em m³)</t>
  </si>
  <si>
    <t>Flujo anual total de masa de materiales relevantes utilizados (volumen en m³)</t>
  </si>
  <si>
    <t>template_label_c4_climate_risks</t>
  </si>
  <si>
    <t>C4 - Klimato rizikos</t>
  </si>
  <si>
    <t>C4 – Ryzyko związane z klimatem</t>
  </si>
  <si>
    <t>C4 – Riscos climáticos</t>
  </si>
  <si>
    <t>C4 – Riesgos climáticos</t>
  </si>
  <si>
    <t>template_label_has_the_undertaking_identified_climate_related_hazards_and_climate_related_transition_events</t>
  </si>
  <si>
    <t>Has the undertaking identified climate-related hazards and climate-related transition events creating gross climate-related risks for the undertaking?</t>
  </si>
  <si>
    <t>Ar įmonė nustatė su klimatu susijusias ir pereinamojo laikotarpio rizikas?</t>
  </si>
  <si>
    <t>Czy jednostka zidentyfikowała zagrożenia związane z klimatem i zdarzenia dotyczące przejścia związanego z klimatem, powodujące poważne ryzyka związane z klimatem dla jednostki?</t>
  </si>
  <si>
    <t xml:space="preserve">A empresa identificou perigos relacionados com o clima e eventos de transição relacionados com o clima que criam riscos brutos relacionados com o clima para a empresa?
</t>
  </si>
  <si>
    <t>¿La empresa ha identificado peligros relacionados con el clima y eventos de transición climática que crean riesgos climáticos brutos para la empresa?</t>
  </si>
  <si>
    <t>template_label_description_of_climate_related_hazards_and_climate_related_transition_events</t>
  </si>
  <si>
    <t>Description of climate-related hazards and climate-related transition events</t>
  </si>
  <si>
    <t>Klimato ir pereinamojo laikotarpio rizikų aprašymai</t>
  </si>
  <si>
    <t>Opis zagrożeń związanych z klimatem oraz zdarzeń dotyczących przejścia związanego z klimatem</t>
  </si>
  <si>
    <t>Descrição sucinta dos perigos relacionados com o clima e eventos de transição relacionados com o clima</t>
  </si>
  <si>
    <t>Descripción de peligros relacionados con el clima y eventos relacionados con la transición climática</t>
  </si>
  <si>
    <t>template_label_disclosure_of_how_it_has_assessed_the_exposure_and_sensitivity_of_its_assets</t>
  </si>
  <si>
    <t>Disclosure of how it has assessed the exposure and sensitivity of its assets activities and value chain to these hazards and transition events</t>
  </si>
  <si>
    <t>Atskleidimas, kaip įmonė įvertino savo turto, veiklos ir vertės grandinės poveikį bei jautrumą šioms klimato rizikoms ir pereinamojo laikotarpio įvykiams</t>
  </si>
  <si>
    <t>Ujawnienie w jaki sposób zostało ocenione narażenie i wrażliwość jej aktywów, działań i łańcucha wartości na te zagrożenia i zdarzenia dotyczące przejścia</t>
  </si>
  <si>
    <t>Divulgação da forma como avaliou a exposição e a sensibilidade dos seus ativos, atividades e cadeia de valor a estes perigos e eventos de transição</t>
  </si>
  <si>
    <t>Divulgación de cómo ha evaluado la exposición y la sensibilidad de sus activos, actividades y cadena de valor a estos peligros y sucesos de transición.</t>
  </si>
  <si>
    <t>template_label_time_horizons_of_any_climate_related_hazards_and_transition_events_identified</t>
  </si>
  <si>
    <t>Time horizons of any climate-related hazards and transition events identified</t>
  </si>
  <si>
    <t>Nustatytų su klimatu susijusių ir pereinamojo laikotarpio rizikų laiko horizontai</t>
  </si>
  <si>
    <t>Perspektywy czasowe wszelkich zagrożeń związanych z klimatem oraz zdarzeń dotyczących przejścia związanego z klimatem</t>
  </si>
  <si>
    <t>Horizontes temporais de quaisquer perigos relacionados com o clima e eventos de transição identificados</t>
  </si>
  <si>
    <t>Horizontes temporales de los peligros relacionados con el clima y los eventos de transición identificados</t>
  </si>
  <si>
    <t>template_label_disclosure_of_whether_it_has_undertaken_climate_change_adaptation_actions</t>
  </si>
  <si>
    <t>Disclosure of whether it has undertaken climate change adaptation actions for any climate-related hazards and transition events</t>
  </si>
  <si>
    <t>Atskleidimas, ar įmonė ėmėsi klimato kaitos prisitaikymo veiksmų dėl bet kokių su klimatu susijusių ir pereinamojo laikotarpio rizikų</t>
  </si>
  <si>
    <t>Ujawnienie czy podjęła działania mające na celu przystosowanie się do zmiany klimatu w odniesieniu do wszelkich zagrożeń związanych z klimatem i zdarzeń dotyczących przejścia związanego z klimatem</t>
  </si>
  <si>
    <t xml:space="preserve">Divulgação se realizou ações de adaptação às alterações climáticas para quaisquer perigos relacionados com o clima e eventos de transição. 
</t>
  </si>
  <si>
    <t>Divulgación sobre si ha emprendido actuaciones de adaptación al cambio climático con respecto a cualquier peligro y suceso de transición relacionado con el clima.</t>
  </si>
  <si>
    <t>template_label_potential_adverse_effects_of_climate_risks</t>
  </si>
  <si>
    <t>Potential adverse effects of climate risks that may affect its financial performance or business operations in the short- medium- or long-term indicating whether it assesses the risks to be high medium or low</t>
  </si>
  <si>
    <t>Įmonė gali atskleisti galimą neigiamą su klimatu susijusios rizikos poveikį, kuris gali turėti įtakos jos finansiniams veiklos rezultatams arba verslo veiklai trumpuoju, vidutinės trukmės ar ilguoju laikotarpiu, nurodydama, ar, jos vertinimu, rizika yra didelė, vidutinė ar maža.</t>
  </si>
  <si>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</si>
  <si>
    <t>Potenciais efeitos adversos dos riscos climáticos suscetíveis de afetar o seu desempenho financeiro ou as suas operações comerciais a curto, médio ou longo prazo, indicando se avalia os riscos como elevados, médios ou baixos.</t>
  </si>
  <si>
    <t>La empresa podrá indicar los posibles efectos adversos de los riesgos climáticos que puedan afectar a su rendimiento financiero o a sus operaciones empresariales a corto, medio o largo plazo, indicando si considera que dichos riesgos son elevados, medios y bajos.</t>
  </si>
  <si>
    <t>template_label_disclosure_of_any_other_environmental_and_or_entity_specific_environmental_disclosures</t>
  </si>
  <si>
    <t>Disclosure of any other environmental and or entity specific environmental disclosures</t>
  </si>
  <si>
    <t>Atskleidimas apie bet kokius kitus aplinkosauginius ir/ar įmonei būdingus aplinkos atskleidimus</t>
  </si>
  <si>
    <t>Ujawnienie wszelkich innych informacji środowiskowych i/lub informacji środowiskowych specyficznych dla danej jednostki</t>
  </si>
  <si>
    <t>Divulgação de quaisquer outras divulgações ambientais e/ou específicas da entidade relativas ao ambiente</t>
  </si>
  <si>
    <t>template_label_employee_counting_methodology_for_the_disclosures_below_headcount_full_time_equivalent</t>
  </si>
  <si>
    <t>Employee counting methodology for the disclosures below (Headcount or Full time Equivalent linked from B1</t>
  </si>
  <si>
    <t>Darbuotojų skaičiavimo metodika žemiau pateikiamoms ataskaitoms (darbuotojų skaičius arba pilno darbo laiko ekvivalentas, susietas su B1)</t>
  </si>
  <si>
    <t>Metodologia liczenia pracowników dla poniższych ujawnień (liczba zatrudnionych lub ekwiwalent pełnego czasu pracy powiązany z B1)</t>
  </si>
  <si>
    <t>Metodologia de contagem de trabalhadores para as divulgações abaixo (Número de efetivos ou Equivalente a Tempo completo relacionados com B1)</t>
  </si>
  <si>
    <t>Metodología para el recuento de empleados para las divulgaciones siguientes (Número de empleados o Equivalente a tiempo completo vinculado desde B1)</t>
  </si>
  <si>
    <t>template_label_employee_counting_methodology_for_the_disclosures_below_period</t>
  </si>
  <si>
    <t>Employee counting methodology for the disclosures below (At the end of the reporting period or as an average across the reporting period linked from B1)</t>
  </si>
  <si>
    <t>Darbuotojų skaičiavimo metodika toliau pateikiamoms atskleidimo dalims (ataskaitinio laikotarpio pabaigoje arba kaip vidurkis per ataskaitinį laikotarpį, susietą su B1)</t>
  </si>
  <si>
    <t>Metodologia liczenia pracowników dla poniższych ujawnień (na koniec okresu sprawozdawczego lub jako średnia w całym okresie sprawozdawczym powiązana z B1)</t>
  </si>
  <si>
    <t>Metodologia de contagem de trabalhadores para as divulgações abaixo (No final do período de relato ou como uma média ao longo do período de relato ligado a partir de B1)</t>
  </si>
  <si>
    <t>Metodología de recuento de empleados para las divulgaciones siguientes (Al final del período de reporte o como un promedio durante el período de reporte vinculado desde B1)</t>
  </si>
  <si>
    <t>template_label_b8_workforce_general_characteristics_type_of_contract</t>
  </si>
  <si>
    <t>B8 – Workforce – General characteristics - Type of contract</t>
  </si>
  <si>
    <t>B8 –Sava darbo jėga – Bendrieji rodikliai - Sutarties rūšis</t>
  </si>
  <si>
    <t>B8 – Zasoby pracownicze – Ogólna charakterystyka - Rodzaj umowy</t>
  </si>
  <si>
    <t>B8 – Mão-de-obra – Características gerais - Tipo de contrato</t>
  </si>
  <si>
    <t>B8 –Trabajadores– Características generales - Tipo de contrato</t>
  </si>
  <si>
    <t>template_label_type_of_contract</t>
  </si>
  <si>
    <t>template_label_permanent_contract</t>
  </si>
  <si>
    <t>Permanent contract</t>
  </si>
  <si>
    <t>Neterminuota sutartis</t>
  </si>
  <si>
    <t>Umowa na czas nieokreślony</t>
  </si>
  <si>
    <t>Contrato sem termo</t>
  </si>
  <si>
    <t>Contrato indefinido</t>
  </si>
  <si>
    <t>template_label_temporary_contract</t>
  </si>
  <si>
    <t>Temporary contract</t>
  </si>
  <si>
    <t>Terminuota sutartis</t>
  </si>
  <si>
    <t>Umowa na czas określony</t>
  </si>
  <si>
    <t>Contrato a termo</t>
  </si>
  <si>
    <t>Contrato temporal</t>
  </si>
  <si>
    <t>template_label_total_employees</t>
  </si>
  <si>
    <t>Total employees (linked to B1)</t>
  </si>
  <si>
    <t>Bendras darbuotojų skaičius (susijęs su B1)</t>
  </si>
  <si>
    <t>Liczba pracowników ogółem (odniesienie do B1)</t>
  </si>
  <si>
    <t>Total de trabalhadores (relacionados com B1)</t>
  </si>
  <si>
    <t>Total de asalariados (vinculados a B1)</t>
  </si>
  <si>
    <t>template_label_b8_workforce_general_characteristics_gender</t>
  </si>
  <si>
    <t>B8 – Workforce – General characteristics - Gender</t>
  </si>
  <si>
    <t>B8 – Sava darbo jėga – Bendrieji rodikliai – Lytis</t>
  </si>
  <si>
    <t>B8 – Zasoby pracownicze – Ogólne charakterystyki - Płeć</t>
  </si>
  <si>
    <t>B8 – Força de trabalho – Características gerais - Género</t>
  </si>
  <si>
    <t>B8 – Trabajadores – Características generales – Género</t>
  </si>
  <si>
    <t>template_label_gender</t>
  </si>
  <si>
    <t>template_label_male</t>
  </si>
  <si>
    <t>Male</t>
  </si>
  <si>
    <t>Vyrai</t>
  </si>
  <si>
    <t>Mężczyzna</t>
  </si>
  <si>
    <t>Masculino</t>
  </si>
  <si>
    <t>template_label_female</t>
  </si>
  <si>
    <t>Female</t>
  </si>
  <si>
    <t>Moterys</t>
  </si>
  <si>
    <t>Kobieta</t>
  </si>
  <si>
    <t>Feminino</t>
  </si>
  <si>
    <t>Femenino</t>
  </si>
  <si>
    <t>template_label_other</t>
  </si>
  <si>
    <t>Kita</t>
  </si>
  <si>
    <t>Inna</t>
  </si>
  <si>
    <t>Outro</t>
  </si>
  <si>
    <t>Otro</t>
  </si>
  <si>
    <t>template_label_not_reported</t>
  </si>
  <si>
    <t>Not reported</t>
  </si>
  <si>
    <t>Nenurodyta</t>
  </si>
  <si>
    <t>Nie zgłoszono</t>
  </si>
  <si>
    <t>Não reportado</t>
  </si>
  <si>
    <t>No Informado</t>
  </si>
  <si>
    <t>template_label_b8_workforce_general_characteristics_country_of_employment</t>
  </si>
  <si>
    <t>B8 – Workforce – General characteristics - Country of employment</t>
  </si>
  <si>
    <t>B8 – Sava darbo jėga – Bendrieji rodikliai - Darbo sutarties šalis</t>
  </si>
  <si>
    <t>B8 – Zasoby pracownicze – Ogólna charakterystyka - Kraj zatrudnienia</t>
  </si>
  <si>
    <t>B8 – Mão-de-obra – Características gerais – País do contrato de trabalho</t>
  </si>
  <si>
    <t>B8 – Trabajadores – Características generales - País de empleo</t>
  </si>
  <si>
    <t>template_label_country_of_employment_contract</t>
  </si>
  <si>
    <t>Country of employment contract</t>
  </si>
  <si>
    <t>Šalis, kurioje sudaryta darbo sutartis</t>
  </si>
  <si>
    <t>Kraj umowy o pracę</t>
  </si>
  <si>
    <t>País do contrato de trabalho</t>
  </si>
  <si>
    <t xml:space="preserve">País del contrato de trabajo
</t>
  </si>
  <si>
    <t>template_label_undertaking_operating_in_more_than_one_country</t>
  </si>
  <si>
    <t>Does the undertaking operate in more than one country?</t>
  </si>
  <si>
    <t>Ar įmonė veikia daugiau nei vienoje šalyje?</t>
  </si>
  <si>
    <t>Czy jednostka prowadzi działalność w więcej niż jednym kraju?</t>
  </si>
  <si>
    <t>A empresa opera em mais de um país?</t>
  </si>
  <si>
    <t>¿Opera la empresa en más de un país?</t>
  </si>
  <si>
    <t>template_label_b8_workforce_general_characteristics_turnover_rate</t>
  </si>
  <si>
    <t>B8 – Workforce – General characteristics - Turnover rate</t>
  </si>
  <si>
    <t>B8 – Sava darbo jėga– Bendrieji rodikliai – Darbuotojų kaita</t>
  </si>
  <si>
    <t>B8 – Zasoby pracownicze – Ogólna charakterystyka - Wskaźnik rotacji</t>
  </si>
  <si>
    <t>B8 – Mão-de-obra – Características gerais - Taxa de rotatividade</t>
  </si>
  <si>
    <t>B8 – Trabajadores – Características generales - Tasa de rotación</t>
  </si>
  <si>
    <t>template_label_number_of_employees_who_left_during_the_reporting_period</t>
  </si>
  <si>
    <t>Number of employees who left during the reporting period</t>
  </si>
  <si>
    <t>Įmonę per ataskaitinį laikotarpį palikusių darbuotojų skaičius</t>
  </si>
  <si>
    <t>Liczba pracowników, którzy opuścili jednostkę w okresie sprawozdawczym</t>
  </si>
  <si>
    <t>Número de trabalhadores que saíram durante o período de relato</t>
  </si>
  <si>
    <t>Número de empleados que abandonaron durante el periodo de referencia</t>
  </si>
  <si>
    <t>template_label_number_of_employees_at_the_beginning_of_the_reporting_period</t>
  </si>
  <si>
    <t>Number of employees at the beginning of the reporting period</t>
  </si>
  <si>
    <t>Darbuotojų skaičius ataskaitinio laikotarpio pradžioje</t>
  </si>
  <si>
    <t>Liczba pracowników na początku okresu sprawozdawczego</t>
  </si>
  <si>
    <t>Número de trabalhadores no início do período de relato</t>
  </si>
  <si>
    <t>Número de empleados al inicio del período de informe</t>
  </si>
  <si>
    <t>template_label_number_of_employees_at_the_end_of_the_reporting_period</t>
  </si>
  <si>
    <t>Number of employees at the end of the reporting period</t>
  </si>
  <si>
    <t>Darbuotojų skaičius ataskaitinio laikotarpio pabaigoje</t>
  </si>
  <si>
    <t>Liczba pracowników na koniec okresu sprawozdawczego</t>
  </si>
  <si>
    <t>Número de trabalhadores no final do período de relato</t>
  </si>
  <si>
    <t>Número de empleados al final del período de reporte</t>
  </si>
  <si>
    <t>template_label_employee_turnover_rate_in_the_reporting_period</t>
  </si>
  <si>
    <t>Employee turnover rate [%]  in the reporting period</t>
  </si>
  <si>
    <t>Darbuotojų kaitos rodiklis [%] ataskaitiniu laikotarpiu</t>
  </si>
  <si>
    <t>Wskaźnik rotacji pracowników [%] w okresie sprawozdawczym</t>
  </si>
  <si>
    <t>Taxa de rotatividade de trabalhadores [%] no período de relato</t>
  </si>
  <si>
    <t>Tasa de rotación de empleados [%] durante el período de informe</t>
  </si>
  <si>
    <t>template_label_b9_workforce_health_and_safety</t>
  </si>
  <si>
    <t>B9 – Sava darbo jėga – Sveikata ir sauga</t>
  </si>
  <si>
    <t>B9 – Zasoby pracownicze – Bezpieczeństwo i higiena pracy</t>
  </si>
  <si>
    <t>B9 — Mão-de-obra — Saúde e segurança</t>
  </si>
  <si>
    <t xml:space="preserve">B9 – Trabajadores – Salud y seguridad
</t>
  </si>
  <si>
    <t>template_label_number_of_recordable_work_related_accidents_in_the_reporting_period</t>
  </si>
  <si>
    <t>Number of recordable work-related accidents in the reporting period</t>
  </si>
  <si>
    <t>Registruotinų su darbu susijusių nelaimingų atsitikimų skaičius ataskaitiniame laikotarpyje</t>
  </si>
  <si>
    <t>Liczba podlegających zgłoszeniu wypadków związanych z pracą w okresie sprawozdawczym</t>
  </si>
  <si>
    <t>Número de acidentes relacionados com o trabalho passíveis de registo no período de relato</t>
  </si>
  <si>
    <t>Número de accidentes de trabajo registrados en el período de informe</t>
  </si>
  <si>
    <t>template_label_number_of_hours_worked_by_one_fulltime_employee_in_the_reporting_period</t>
  </si>
  <si>
    <t>Number of hours worked by  one full-time employee in the reporting period</t>
  </si>
  <si>
    <t>Dirbtų valandų skaičius vienam visą darbo laiką dirbančiam darbuotojui ataskaitiniame laikotarpyje</t>
  </si>
  <si>
    <t>Liczba godzin przepracowanych przez jednego pracownika zatrudnionego na pełen etat w okresie sprawozdawczym</t>
  </si>
  <si>
    <t>Número de horas trabalhadas por um empregado a tempo inteiro no período de relato</t>
  </si>
  <si>
    <t>Número de horas trabajadas por un empleado a tiempo completo en el período de informe</t>
  </si>
  <si>
    <t>template_label_total_number_of_hours_worked_in_a_year_by_all_employees_in_the_reporting_period</t>
  </si>
  <si>
    <t>Total number of hours worked in a year by all employees in the reporting period</t>
  </si>
  <si>
    <t>Visų darbuotojų per metus išdirbtų valandų bendras skaičius (ataskaitiniu laikotarpiu)</t>
  </si>
  <si>
    <t>Całkowita liczba godzin przepracowanych w ciągu roku przez wszystkich pracowników w okresie sprawozdawczym</t>
  </si>
  <si>
    <t>Número total de horas trabalhadas num ano por todos os trabalhadores no período de relato</t>
  </si>
  <si>
    <t>Número total de horas trabajadas en un año por todos los empleados en el período de reporte</t>
  </si>
  <si>
    <t>template_label_rate_of_recordable_work_related_accidents_in_the_reporting_period</t>
  </si>
  <si>
    <t>Rate of recordable work-related accidents in the reporting period</t>
  </si>
  <si>
    <t>Registruotinų su darbu susijusių nelaimingų atsitikimų dažnis ataskaitiniu laikotarpiu</t>
  </si>
  <si>
    <t>Wskaźnik podlegających zgłoszeniu wypadków związanych z pracą w okresie sprawozdawczym</t>
  </si>
  <si>
    <t>Taxa de acidentes relacionados com o trabalho passíveis de registo no período de relato</t>
  </si>
  <si>
    <t>Tasa de accidentes de trabajo registrables en el período de informe</t>
  </si>
  <si>
    <t>template_label_number_of_fatalities_as_a_result_of_work_related_injuries_and_work_related_ill_health</t>
  </si>
  <si>
    <t>Number of fatalities as a result of work-related injuries and work-related ill health</t>
  </si>
  <si>
    <t>Mirčių dėl su darbu susijusių sužalojimų ir su darbu susijusių sveikatos sutrikimų skaičius</t>
  </si>
  <si>
    <t>Liczba ofiar śmiertelnych w wyniku urazów związanych z pracą i złego stanu zdrowia związanego z pracą</t>
  </si>
  <si>
    <t>Número de mortes devido a lesões relacionadas com o trabalho e a problemas de saúde relacionados com o trabalho</t>
  </si>
  <si>
    <t>Número de muertes como consecuencia de lesiones y problemas de salud relacionados con el trabajo.</t>
  </si>
  <si>
    <t>template_label_b10_workforce_remuneration_collective_bargaining_and_training</t>
  </si>
  <si>
    <t>B10 – Workforce – Remuneration collective bargaining and training</t>
  </si>
  <si>
    <t>B10 – Sava darbo jėga – Atlyginimas, kolektyvinės derybos ir mokymai</t>
  </si>
  <si>
    <t>B10 – Mão-de-obra – Remuneração, negociação coletiva e formação</t>
  </si>
  <si>
    <t xml:space="preserve">B10 – Trabajadores – Retribución, negociación colectiva y formación
</t>
  </si>
  <si>
    <t>template_label_employees_receive_pay_that_is_equal_or_above_applicable_minimum_wage</t>
  </si>
  <si>
    <t>Employees receive pay that is equal or above applicable minimum wage determined directly by the national minimum wage law or through a collective bargaining agreement</t>
  </si>
  <si>
    <t>Darbuotojai gauna užmokestį, kuris yra lygus arba didesnis už taikomą minimalųjį darbo užmokestį, nustatytą tiesiogiai pagal nacionalinį minimaliojo darbo užmokesčio įstatymą arba per kolektyvinę sutartį.</t>
  </si>
  <si>
    <t>Pracownicy otrzymują wynagrodzenie co najmniej równe obowiązującej płacy minimalnej, ustanowionej bezpośrednio na mocy krajowych przepisów dotyczących płacy minimalnej lub układu zbiorowego pracy</t>
  </si>
  <si>
    <t xml:space="preserve">Os trabalhadores recebem uma remuneração igual ou superior ao salário mínimo aplicável no país a que se refere o relatório, determinada diretamente pela legislação nacional sobre salário mínimo ou através de uma convenção coletiva de trabalho. 
</t>
  </si>
  <si>
    <t>Los empleados reciben un sueldo que es igual o superior al salario mínimo aplicable determinado directamente por la ley nacional de salario mínimo o mediante un convenio colectivo.</t>
  </si>
  <si>
    <t>template_label_average_gross_hourly_pay_level_of_male_employees</t>
  </si>
  <si>
    <t>Average gross hourly pay level of male employees</t>
  </si>
  <si>
    <t>Vidutinis darbuotojų vyrų valandinis užmokestis neatskaičius mokesčių</t>
  </si>
  <si>
    <t>Średni poziom godzinowego wynagrodzenia brutto pracowników płci męskiej</t>
  </si>
  <si>
    <t>Nível médio de remuneração horária bruta dos trabalhadores do sexo masculino</t>
  </si>
  <si>
    <t>Nivel medio bruto de remuneración por hora de los empleados masculinos</t>
  </si>
  <si>
    <t>template_label_average_gross_hourly_pay_level_of_female_employees</t>
  </si>
  <si>
    <t>Average gross hourly pay level of female employees</t>
  </si>
  <si>
    <t>Vidutinis darbuotojų moterų valandinis užmokestis neatskaičius mokesčių</t>
  </si>
  <si>
    <t>Średni poziom godzinowego wynagrodzenia brutto pracowników płci żeńskiej</t>
  </si>
  <si>
    <t>Nível médio de remuneração horária bruta dos trabalhadores do sexo feminino</t>
  </si>
  <si>
    <t>Nivel medio bruto de remuneración por hora de las empleadas</t>
  </si>
  <si>
    <t>template_label_percentage_gap_in_pay_between_the__undertakings_female_and_male_employees</t>
  </si>
  <si>
    <t>Percentage gap in pay between the  undertaking's female and male employees [%]</t>
  </si>
  <si>
    <t>Moterų ir vyrų darbuotojų atlygio skirtumas procentais [%]</t>
  </si>
  <si>
    <t>Luka płacowa między pracownikami płci żeńskiej i męskiej w ujęciu procentowym w jednostce [%]</t>
  </si>
  <si>
    <t>Disparidade percentual na remuneração entre os trabalhadores do sexo feminino e do sexo masculino  da empresa [%]</t>
  </si>
  <si>
    <t>Porcentaje de brecha salarial entre las empleadas y los empleados de la empresa [%]</t>
  </si>
  <si>
    <t>template_label_number_of_employees_covered_by_collective_bargaining_agreements</t>
  </si>
  <si>
    <t>Number of employees covered by collective bargaining agreements</t>
  </si>
  <si>
    <t>Darbuotojų, kuriems taikomos kolektyvinės sutartys, skaičius</t>
  </si>
  <si>
    <t>Liczba pracowników objętych układami zbiorowymi pracy</t>
  </si>
  <si>
    <t>Número de trabalhadores abrangidos por convenções coletivas de trabalho</t>
  </si>
  <si>
    <t>Número de empelados cubiertos por convenios de negociación colectiva</t>
  </si>
  <si>
    <t>template_label_percentage_of_employees_covered_by_collective_bargaining_agreements</t>
  </si>
  <si>
    <t>Percentage of employees covered by collective bargaining agreements [%]</t>
  </si>
  <si>
    <t>Darbuotojų, kuriems taikomos kolektyvinės sutartys, procentinė dalis [%]</t>
  </si>
  <si>
    <t>Odsetek pracowników objętych układami zbiorowymi pracy [%]</t>
  </si>
  <si>
    <t>Percentagem de trabalhadores abrangidos por convenções coletivas de trabalho [%]</t>
  </si>
  <si>
    <t>Porcentaje de empleados cubiertos por convenios de negociación colectiva [%]</t>
  </si>
  <si>
    <t>template_label_number_of_annual_training_hours_per_employee_during_the_reporting_period</t>
  </si>
  <si>
    <t>Number of annual training hours per employee during the reporting period</t>
  </si>
  <si>
    <t>Vidutinis metinis mokymo valandų skaičius vienam darbuotojui ataskaitiniu laikotarpiu</t>
  </si>
  <si>
    <t>Średnia liczba godzin szkoleń w ciągu roku na pracownika w okresie sprawozdawczym</t>
  </si>
  <si>
    <t>Número médio de horas de formação anual por trabalhador durante o período de relato</t>
  </si>
  <si>
    <t>Número de horas anuales de formación por empleado durante el período de información</t>
  </si>
  <si>
    <t>template_label_average_number_of_annual_training_hours_per_employee</t>
  </si>
  <si>
    <t>Average number of annual training hours per employee</t>
  </si>
  <si>
    <t>Vidutinis metinių mokymų valandų skaičius vienam darbuotojui</t>
  </si>
  <si>
    <t>Średnia liczba godzin szkoleń w ciągu roku na pracownika</t>
  </si>
  <si>
    <t>Número médio de horas anuais de formação por trabalhador</t>
  </si>
  <si>
    <t>Número medio anual de horas de formación por empleado</t>
  </si>
  <si>
    <t>template_label_c5_additional_workforce_characteristics</t>
  </si>
  <si>
    <t>C5 - Papildomi (bendrieji) darbo jėgos rodikliai</t>
  </si>
  <si>
    <t>C5 – Características adicionais (gerais) da mão-de-obra</t>
  </si>
  <si>
    <t>template_label_number_of_male_employees_at_management_level</t>
  </si>
  <si>
    <t>Number of male employees at management level</t>
  </si>
  <si>
    <t>Vyrų darbuotojų skaičius vadovaujančiose pareigose</t>
  </si>
  <si>
    <t>Liczba pracowników płci męskiej wśród kadry zarządzającej</t>
  </si>
  <si>
    <t>Número de trabalhadores do sexo masculino ao nível dos quadros superiores</t>
  </si>
  <si>
    <t>Número de empleados masculinos a nivel directivo</t>
  </si>
  <si>
    <t>template_label_number_of_female_employees_at_management_level</t>
  </si>
  <si>
    <t>Number of female employees at management level</t>
  </si>
  <si>
    <t>Morerų darbuotojų skaičius vadovaujančiose pareigose</t>
  </si>
  <si>
    <t>Liczba pracowników płci żeńskiej wśród kadry zarządzającej</t>
  </si>
  <si>
    <t>Número de trabalhadores do sexo feminino ao nível dos quadros superiores</t>
  </si>
  <si>
    <t>Número de empleadas a nivel directivo</t>
  </si>
  <si>
    <t>template_label_female_to_male_ratio_at_management_level_for_the_reporting_period</t>
  </si>
  <si>
    <t>Female-to-male ratio at management level for the reporting period</t>
  </si>
  <si>
    <t>Vadovų/vadovaujančias pareigas einančių moterų ir vyrų santykis ataskaitiniu laikotarpiu</t>
  </si>
  <si>
    <t>Współczynnik płci wśród kadry zarządzającej w okresie sprawozdawczym</t>
  </si>
  <si>
    <t>Rácio de mulheres para homens ao nível dos quadros superiores durante o período de relato</t>
  </si>
  <si>
    <t>Ratio mujeres/hombres a nivel directivo para el período de informe</t>
  </si>
  <si>
    <t>template_label_total_self_employed_workers_without_personnel_that_are_working_exclusively_for_the_undertaking</t>
  </si>
  <si>
    <t>Total self-employed workers without personnel that are working exclusively for the undertaking</t>
  </si>
  <si>
    <t>Iš viso savarankiškai dirbančių (ne darbuotojų), dirbančių tik šiai įmonei, skaičius</t>
  </si>
  <si>
    <t>Całkowita liczba osób samozatrudnionych bez personelu, które pracują wyłącznie na rzecz jednostki</t>
  </si>
  <si>
    <t>Total de trabalhadores independentes sem pessoal que trabalham exclusivamente para a empresa</t>
  </si>
  <si>
    <t>Total de trabajadores por cuenta propia sin personal que trabajan exclusivamente para la empresa</t>
  </si>
  <si>
    <t>template_label_total_temporary_workers_provided_by_undertakings_primarily_engaged_in_employment_activities</t>
  </si>
  <si>
    <t>Total temporary workers provided by undertakings primarily engaged in employment activities</t>
  </si>
  <si>
    <t>Iš viso darbuotojų, dirbančių per laikinojo įdarbinimo agentūras, skaičius</t>
  </si>
  <si>
    <t>Całkowita liczba pracowników tymczasowych zapewnionych przez jednostki prowadzące głównie działalność związaną z zatrudnieniem</t>
  </si>
  <si>
    <t>Total de trabalhadores temporários cedidos por empresas principalmente dedicadas a atividades de emprego</t>
  </si>
  <si>
    <t>Total de trabajadores temporales proporcionados por empresas dedicadas principalmente a actividades de empleo</t>
  </si>
  <si>
    <t>template_label_c6_additional_own_workforce_information_human_rights_policies_and_processes</t>
  </si>
  <si>
    <t>C6 – Papildoma savos darbo jėgos informacija – Žmogaus teisių politika ir procesai</t>
  </si>
  <si>
    <t>C6 – Informações adicionais sobre a própria mão-de-obra — Políticas e processos em matéria de direitos humanos</t>
  </si>
  <si>
    <t>template_label_does_the_undertaking_have_a_code_of_conduct_or_human_rights_policy_for_its_own_workforce</t>
  </si>
  <si>
    <t>Does the undertaking have a code of conduct or human rights policy for its own workforce?</t>
  </si>
  <si>
    <t>Ar įmonė turi savos darbo jėgos elgesio kodeksą arba žmogaus teisių politiką?</t>
  </si>
  <si>
    <t>Czy jednostka posiada kodeks postępowania lub politykę dotyczącą praw człowieka dla własnych pracowników?</t>
  </si>
  <si>
    <t>A empresa dispõe de um código de conduta ou de uma política de direitos humanos para a sua própria mão-de-obra?</t>
  </si>
  <si>
    <t>¿Dispone la empresa de un código de conducta o de una política de derechos humanos para su personal propio?</t>
  </si>
  <si>
    <t>template_label_if_yes_does_this_cover</t>
  </si>
  <si>
    <t>If yes does this cover:</t>
  </si>
  <si>
    <t>Jei taip, ar tai apima:</t>
  </si>
  <si>
    <t>Jeśli tak, czy dokumenty te obejmują takie kwestie jak:</t>
  </si>
  <si>
    <t>Se sim, isso cobre:</t>
  </si>
  <si>
    <t>Si es así, ¿cubriría esto:}</t>
  </si>
  <si>
    <t>template_label_child_labour</t>
  </si>
  <si>
    <t>· child labour</t>
  </si>
  <si>
    <t>Vaikų darbas</t>
  </si>
  <si>
    <t>praca dzieci</t>
  </si>
  <si>
    <t>· trabalho infantil</t>
  </si>
  <si>
    <t>· trabajo infantil</t>
  </si>
  <si>
    <t>template_label_forced_labour</t>
  </si>
  <si>
    <t>· forced labour</t>
  </si>
  <si>
    <t>· priverstinis darbas</t>
  </si>
  <si>
    <t>praca przymusowa</t>
  </si>
  <si>
    <t>· trabalho forçado</t>
  </si>
  <si>
    <t>· trabajo forzoso</t>
  </si>
  <si>
    <t>template_label_human_trafficking</t>
  </si>
  <si>
    <t>· human trafficking</t>
  </si>
  <si>
    <t>· prekyba žmonėmis</t>
  </si>
  <si>
    <t>handel ludźmi</t>
  </si>
  <si>
    <t>· tráfico de seres humanos</t>
  </si>
  <si>
    <t>· trata de seres humanos</t>
  </si>
  <si>
    <t>template_label_discrimination</t>
  </si>
  <si>
    <t>· discrimination</t>
  </si>
  <si>
    <t>· diskriminacija</t>
  </si>
  <si>
    <t>dyskryminacja</t>
  </si>
  <si>
    <t>· discriminação</t>
  </si>
  <si>
    <t>· discriminación</t>
  </si>
  <si>
    <t>template_label_accident_prevention</t>
  </si>
  <si>
    <t>· accident prevention</t>
  </si>
  <si>
    <t>· nelaimingų atsitikimų prevencija</t>
  </si>
  <si>
    <t>zapobieganie wypadkom</t>
  </si>
  <si>
    <t>Prevenção de acidentes</t>
  </si>
  <si>
    <t>· prevención de accidentes</t>
  </si>
  <si>
    <t>template_label_other_if_yes_specify</t>
  </si>
  <si>
    <t>· other? ( if yes specify)</t>
  </si>
  <si>
    <t>kita? (TAIP/NE; jei taip, nurodykite)</t>
  </si>
  <si>
    <t>inne kwestie? (TAK/NIE – jeśli tak, jakie?)</t>
  </si>
  <si>
    <t>outros? (SIM/NÃO — em caso afirmativo, especificar)</t>
  </si>
  <si>
    <t>· otro? (en caso afirmativo especifique)</t>
  </si>
  <si>
    <t>template_label_specify_other_types_of_content_covered_by_the_code_of_conduct_or_human_rights_policy</t>
  </si>
  <si>
    <t>Specify other types of content covered by the code of conduct or human rights policy</t>
  </si>
  <si>
    <t>Nurodykite kitas temas / sritis, kurias apima elgesio kodeksas arba žmogaus teisių politika.</t>
  </si>
  <si>
    <t>Określ inne rodzaje treści objęte kodeksem postępowania lub polityką dotyczącą praw człowieka</t>
  </si>
  <si>
    <t>Especifique outros tipos de conteúdo abrangidos pelo código de conduta ou pela política de direitos humanos</t>
  </si>
  <si>
    <t>Especifique otros tipos de contenido cubiertos por el código de conducta o la política de derechos humanos</t>
  </si>
  <si>
    <t>template_label_does_the_undertaking_have_a_complaint_handling_mechanism_for_its_own_workforce</t>
  </si>
  <si>
    <t>Does the undertaking have a complaint-handling mechanism for its own workforce?</t>
  </si>
  <si>
    <t>Ar yra įdiegtas skundų nagrinėjimo mechanizmas darbuotojams?</t>
  </si>
  <si>
    <t>Czy jednostka dysponuje mechanizmem rozpatrywania skarg dla własnych praconików?</t>
  </si>
  <si>
    <t>A empresa dispõe de um mecanismo de tratamento de reclamações para a sua própria mão-de-obra?</t>
  </si>
  <si>
    <t>¿Dispone la empresa de un mecanismo de gestión de reclamaciones para su personal propio?</t>
  </si>
  <si>
    <t>template_label_c7_severe_negative_human_rights_incidents</t>
  </si>
  <si>
    <t>C7 – Sunkūs neigiami žmogaus teisių pažeidimų atvejai</t>
  </si>
  <si>
    <t>C7 – Incidentes negativos graves em matéria de direitos humanos</t>
  </si>
  <si>
    <t>C7 – Incidentes graves negativos de derechos humanos</t>
  </si>
  <si>
    <t>template_label_does_the_undertaking_have_confirmed_incidents_in_its_own_workforce</t>
  </si>
  <si>
    <t>Does the undertaking have confirmed incidents in its own workforce?</t>
  </si>
  <si>
    <t>Ar įmonėje yra įvykę incidentų savo darbuotojų tarpe?</t>
  </si>
  <si>
    <t>Czy jednostka odnotowała potwierdzone incydenty dotyczące własnych pracowników?</t>
  </si>
  <si>
    <t>A empresa tem incidentes confirmados na sua própria mão-de-obra?</t>
  </si>
  <si>
    <t>¿Ha confirmado la empresa incidentes entre su personal propio?</t>
  </si>
  <si>
    <t>template_label_if_yes_are_incidents_related_to</t>
  </si>
  <si>
    <t>If yes are incidents related to:</t>
  </si>
  <si>
    <t>Jei taip, ar incidentai susiję su:</t>
  </si>
  <si>
    <t>Jeżeli tak, czy incydenty są związane z:</t>
  </si>
  <si>
    <t>Se sim, os incidentes estão relacionados com:</t>
  </si>
  <si>
    <t>Si es así, ¿los incidentes están relacionados con:}</t>
  </si>
  <si>
    <t>template_label_specify_other_human_rights_related_to_the_confirmed_incidents</t>
  </si>
  <si>
    <t>Specify other human rights related to the confirmed incidents</t>
  </si>
  <si>
    <t>Nurodykite kitas žmogaus teises, susijusias su įvykusiais incidentais.</t>
  </si>
  <si>
    <t>Określ inne prawa człowieka związane z potwierdzonymi incydentami</t>
  </si>
  <si>
    <t xml:space="preserve">Especifique outros direitos humanos relacionados com os incidentes confirmados
</t>
  </si>
  <si>
    <t>Especifique otros derechos humanos relacionados con los incidentes confirmados</t>
  </si>
  <si>
    <t>template_label_description_of_actions_taken_to_address_the_confirmed_incidents</t>
  </si>
  <si>
    <t>Description of actions taken to address the confirmed incidents</t>
  </si>
  <si>
    <t>Įvykusiems incidentams spręsti atliktų veiksmų aprašymas</t>
  </si>
  <si>
    <t>Opis działań podjętych w celu rozwiązania potwierdzonych incydentów</t>
  </si>
  <si>
    <t>Descrição das medidas tomadas para fazer face aos incidentes confirmados</t>
  </si>
  <si>
    <t>Descripción de las actuaciones llevadas a cabo para abordar los incidentes confirmados</t>
  </si>
  <si>
    <t>template_label_is_the_undertaking_aware_of_any_confirmed_incidents_involving_workers</t>
  </si>
  <si>
    <t>Is the undertaking aware of any confirmed incidents involving workers in the value chain affected communities consumers and end-users?</t>
  </si>
  <si>
    <t>Ar įmonei žinoma apie kokius nors įvykusius incidentus, susijusius su vertės grandinės darbuotojais, paveiktomis bendruomenėmis, vartotojais ir galutiniais naudotojais?</t>
  </si>
  <si>
    <t>Czy jednostka posiada wiedzę na temat jakichkolwiek potwierdzonych incydentów dotyczących osób wykonujących pracę w łańcuchu wartości, dotkniętych społeczności, konsumentów i użytkowników końcowych?</t>
  </si>
  <si>
    <t>A entidade tem conhecimento de algum incidente confirmado envolvendo trabalhadores na cadeia de valor, comunidades afetadas, consumidores e utilizadores finais?</t>
  </si>
  <si>
    <t>¿Está la empresa al tanto de algún incidente confirmado que involucre a trabajadores en la cadena de valor, comunidades afectadas, consumidores y usuarios finales?</t>
  </si>
  <si>
    <t>template_label_specification_of_any_confirmed_incident_involving_workers</t>
  </si>
  <si>
    <t>Specification of any confirmed incident involving workers in the value chain affected communities consumers and end-users</t>
  </si>
  <si>
    <t>Bet kurio įvykusio incidento, susijusio su vertės grandinės darbuotojais, paveiktomis bendruomenėmis, vartotojais ir galutiniais naudotojais, aprašymas.</t>
  </si>
  <si>
    <t>Specyfikacja potwierdzonych incydentów dotyczących osób wykonujących pracę w łańcuchu wartości, dotkniętych społeczności, konsumentów i użytkowników końcowych</t>
  </si>
  <si>
    <t xml:space="preserve">Especificação de quaisquer incidentes confirmados envolvendo trabalhadores da cadeia de valor, comunidades afetadas, consumidores e utilizadores finais
</t>
  </si>
  <si>
    <t>¿Tiene conocimiento la empresa de cualquier incidente confirmado en el que estén involucrados trabajadores de la cadena de valor, colectivos afectados, consumidores y usuarios finales? En caso afirmativo, especifíquese.</t>
  </si>
  <si>
    <t>template_label_disclosure_of_any_other_social_and_or_entity_specific_social_disclosures</t>
  </si>
  <si>
    <t>Disclosure of any other social and or entity specific social disclosures</t>
  </si>
  <si>
    <t>Bet kokių kitų socialinių atskleidimų ir (ar) įmonei specifinių socialinių atskleidimas.</t>
  </si>
  <si>
    <t>Ujawnienie innych informacji społecznych i/lub informacji społecznych specyficznych dla danej jednostki</t>
  </si>
  <si>
    <t>Divulgação de quaisquer outras divulgações sociais e/ou específicas da entidade relativas a aspetos sociais</t>
  </si>
  <si>
    <t>Divulgación de cualquier otra divulgación social y/o específica de la entidad</t>
  </si>
  <si>
    <t>template_label_b11_convictions_and_fines_for_corruption_and_bribery</t>
  </si>
  <si>
    <t>B11 – Nuosprendžiai ir baudos už korupciją ir kyšininkavimą</t>
  </si>
  <si>
    <t>B11 – Condenações e multas por corrupção e suborno</t>
  </si>
  <si>
    <t>B11 — Condenas y multas por corrupción y soborno</t>
  </si>
  <si>
    <t>template_label_has_the_undertaking_incurred_in_convictions_and_fines_in_the_reporting_period</t>
  </si>
  <si>
    <t>Has the undertaking incurred in convictions and fines in the reporting period?</t>
  </si>
  <si>
    <t>Ar įmonė buvo apkaltinta ir nubausta ataskaitiniu laikotarpiu?</t>
  </si>
  <si>
    <t>Czy jednostka otrzymała wyroki skazujące lub podlegała grzywnom w okresie sprawozdawczym?</t>
  </si>
  <si>
    <t>A entidade incorreu em condenações e multas no período de reporte?</t>
  </si>
  <si>
    <t>¿La empresa ha incurrido en condenas y multas en el período de referencia?</t>
  </si>
  <si>
    <t>template_label_total_number_of_convictions_for_the_violation_of_anti_corruption_and_anti_bribery_laws</t>
  </si>
  <si>
    <t>Total number of convictions  for the violation of anti-corruption and anti-bribery laws</t>
  </si>
  <si>
    <t>Bendras nuobaudų skaičius už korupcijos ir kyšininkavimo įstatymų pažeidimus</t>
  </si>
  <si>
    <t>Całkowita liczba wyroków skazujących za naruszenie przepisów antykorupcyjnych i przepisów w sprawie zwalczania przekupstwa</t>
  </si>
  <si>
    <t>Número total de condenações por violação das leis anticorrupção e antissuborno</t>
  </si>
  <si>
    <t>Número total de condenas por infracción de las leyes anticorrupción y antisoborno</t>
  </si>
  <si>
    <t>template_label_total_amount_of_fines_for_the_violation_of_anti_corruption_and_anti_bribery_laws</t>
  </si>
  <si>
    <t>Total amount of fines for the violation of anti-corruption and anti-bribery laws</t>
  </si>
  <si>
    <t>Baudų suma už korupcijos ir kyšininkavimo įstatymų pažeidimus</t>
  </si>
  <si>
    <t>Całkowita kwota grzywien za naruszenie przepisów antykorupcyjnych i przepisów w sprawie zwalczania przekupstwa</t>
  </si>
  <si>
    <t>Montante total das multas por violação das leis anticorrupção e antissuborno</t>
  </si>
  <si>
    <t>Importe total de las multas por infringir las leyes anticorrupción y antisoborno.</t>
  </si>
  <si>
    <t>template_label_c8_revenues_from_certain_sectors</t>
  </si>
  <si>
    <t>C8 – Revenues from certain activities</t>
  </si>
  <si>
    <t>C8 – Pajamos iš tam tikrų veiklų</t>
  </si>
  <si>
    <t>C8 – Przychody z niektórych rodzajów działalności</t>
  </si>
  <si>
    <t>C8 – Rédito de determinadas atividades</t>
  </si>
  <si>
    <t>C8 – Ingresos de determinadas actividades</t>
  </si>
  <si>
    <t>template_label_is_the_undertaking_deriving_revenues_from_one_of_the_activities_listed_below</t>
  </si>
  <si>
    <t>Is the undertaking deriving revenues from one of the activities listed below?</t>
  </si>
  <si>
    <t>Ar įmonė gauna pajamas iš vienos iš žemiau išvardytų veiklų?</t>
  </si>
  <si>
    <t xml:space="preserve">Czy jednostka uzyskuje przychody z jednej z poniżej wymienionych działalności? </t>
  </si>
  <si>
    <t>A entidade obtém rédito de uma das atividades listadas abaixo?</t>
  </si>
  <si>
    <t>¿La empresa obtiene ingresos de una de las actividades enumeradas a continuación?</t>
  </si>
  <si>
    <t>template_label_monetary_amount_in</t>
  </si>
  <si>
    <t>Monetary amount in</t>
  </si>
  <si>
    <t>Piniginė suma (Eurais)</t>
  </si>
  <si>
    <t>Kwota pieniężna w</t>
  </si>
  <si>
    <t>Montante monetário em</t>
  </si>
  <si>
    <t>Importe monetario en</t>
  </si>
  <si>
    <t>template_label_revenue_derived_from_controversial_weapons</t>
  </si>
  <si>
    <t>Revenue derived from controversial weapons (anti-personnel mines cluster munitions chemical weapons and biological weapons)</t>
  </si>
  <si>
    <t>Pajamos, gautos iš prieštaringai vertinamų ginklų (pėstininkų minų, kasetinių sprogstamųjų užtaisų, cheminių ir biologinių ginklų).</t>
  </si>
  <si>
    <t>Przychody z kontrowersyjnych rodzajów broni (miny przeciwpiechotne, amunicja kasetowa, broń chemiczna i broń biologiczna)</t>
  </si>
  <si>
    <t>Rédito derivado de armas controversas (minas antipessoais, munições de fragmentação, armas químicas e armas biológicas)</t>
  </si>
  <si>
    <t>Ingresos derivados de armas controvertidas (minas antipersona, municiones en racimo, armas químicas y armas biológicas)</t>
  </si>
  <si>
    <t>template_label_revenue_derived_from_cultivation_and_production_of_tobacco</t>
  </si>
  <si>
    <t>Revenue derived from cultivation and production of tobacco</t>
  </si>
  <si>
    <t xml:space="preserve">Pajamos, gautos iš tabako auginimo ir gamybos
</t>
  </si>
  <si>
    <t>Przychody z uprawy i produkcji tytoniu</t>
  </si>
  <si>
    <t>Rédito proveniente do cultivo e produção de tabaco</t>
  </si>
  <si>
    <t>Ingresos derivados del cultivo y la producción de tabaco</t>
  </si>
  <si>
    <t>template_label_revenue_derived_from_coal</t>
  </si>
  <si>
    <t>Revenue derived from coal</t>
  </si>
  <si>
    <t>Pajamos iš anglių</t>
  </si>
  <si>
    <t>Przychody z węgla</t>
  </si>
  <si>
    <t>Rédito derivado do carvão</t>
  </si>
  <si>
    <t>Ingresos derivados del carbón</t>
  </si>
  <si>
    <t>template_label_revenue_derived_from_oil</t>
  </si>
  <si>
    <t>Revenue derived from oil</t>
  </si>
  <si>
    <t>Pajamos, gautos iš naftos</t>
  </si>
  <si>
    <t>Przychody z ropy naftowej</t>
  </si>
  <si>
    <t>Rédito derivado do petróleo</t>
  </si>
  <si>
    <t>Ingresos derivados del petróleo</t>
  </si>
  <si>
    <t>template_label_revenue_derived_from_gas</t>
  </si>
  <si>
    <t>Revenue derived from gas</t>
  </si>
  <si>
    <t>Pajamos, gautos iš dujų</t>
  </si>
  <si>
    <t>Przychody z gazu</t>
  </si>
  <si>
    <t>Rèdito derivado do gás</t>
  </si>
  <si>
    <t>Ingresos derivados del gas</t>
  </si>
  <si>
    <t>template_label_total_revenues_derived_from_fossil_fuel_sector</t>
  </si>
  <si>
    <t>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t>
  </si>
  <si>
    <t xml:space="preserve">Visos pajamos, gautos iš iškastinio kuro (anglių, naftos ir dujų) sektoriaus (t. y. įmonė gauna pajamas iš iškastinio kuro, apibrėžto Europos Parlamento ir Tarybos reglamento (ES) 2018/1999 2 straipsnio 62 punkte, žvalgymo, kasybos, gavybos, gamybos, apdorojimo, saugojimo, perdirbimo arba platinimo, įskaitant transportavimą, saugojimą ir prekybą) .
</t>
  </si>
  <si>
    <t>Całkowite przychody z sektora paliw kopalnych (węgiel, ropa i gaz) (tj. jednostka osiąga przychody z działalności związanej z poszukiwaniem, górnictwem, wydobyciem, produkcją, przetwarzaniem, magazynowaniem, rafinacją lub dystrybucją, w tym transportem i magazynowaniem, paliw kopalnych zdefiniowanych w art. 2 pkt 62 rozporządzenia Parlamentu Europejskiego i Rady (UE) 2018/1999 oraz handlem tymi paliwami)</t>
  </si>
  <si>
    <t>Rèdito total derivado do setor de combustíveis fósseis (carvão, petróleo e gás) (ou seja, a entidade obtém receitas da exploração, mineração, extração, produção, processamento, armazenamento, refinação ou distribuição, incluindo o transporte, armazenamento e comércio de combustíveis fósseis conforme definido no artigo 2.º, ponto (62), do Regulamento (UE) 2018/1999 do Parlamento Europeu e do Conselho)</t>
  </si>
  <si>
    <t>Ingresos totales derivados del sector de los combustibles fósiles (carbón, petróleo y gas) [es decir, la empresa obtiene ingresos de la exploración,la extracción, la producción, la transformación, el almacenamiento, el refinado o la distribución, incluidos el transporte, el almacenamiento y la comercialización, de combustibles fósiles, tal como se definen en el artículo 2, apartado 62, del Reglamento (UE) 2018/1999 del Parlamento Europeo y del Consejo] .</t>
  </si>
  <si>
    <t>template_label_revenue_derived_from_chemicals_production</t>
  </si>
  <si>
    <t>Revenue derived from chemicals production</t>
  </si>
  <si>
    <t>Pajamos, gautos iš cheminių medžiagų gamybos</t>
  </si>
  <si>
    <t>Przychody z produkcji chemikaliów</t>
  </si>
  <si>
    <t>Rèdito derivado da produção de produtos químicos</t>
  </si>
  <si>
    <t>Ingresos derivados de la producción de productos químicos</t>
  </si>
  <si>
    <t>template_label_c8_exclusion_from_eu_reference_benchmarks</t>
  </si>
  <si>
    <t>C8 – Exclusion from EU reference benchmarks</t>
  </si>
  <si>
    <t>C8 – Neįtraukimas į ES lyginamuosius etalonus</t>
  </si>
  <si>
    <t>C8 – Wykluczenie z unijnych wskaźników referencyjnych</t>
  </si>
  <si>
    <t>C8 – Exclusão dos índices de referência da UE</t>
  </si>
  <si>
    <t>C8 – Exclusión de los índices de referencia de la UE</t>
  </si>
  <si>
    <t>template_label_undertakings_are_excluded_from_the_eu_paris_aligned_benchmarks_if_they_derive</t>
  </si>
  <si>
    <t>Undertakings are excluded from the EU Paris-aligned Benchmarks if they  derive:</t>
  </si>
  <si>
    <t>Įmonės yra neįtraukiamos į ES Paryžiaus susitarimui pritaikytus etalonus, jei jos gauna pajamas iš:</t>
  </si>
  <si>
    <t>Jednostki są wyłączone z unijnych wskaźników referencyjnych dostosowanych do porozumienia paryskiego, jeżeli uzyskują:</t>
  </si>
  <si>
    <t>As empresas são excluídas dos Índices de Referência Alinhados com a UE e o Acordo de Paris se elas derivarem:</t>
  </si>
  <si>
    <t>Las empresas quedan excluidas de los índices de referencia de la UE armonizados con el Acuerdo de París si derivan:</t>
  </si>
  <si>
    <t>template_label_1_percent_or_more_of_their_revenues_from_exploration_mining_extraction_distribution_or_refining_of_hard_coal_and_lignite</t>
  </si>
  <si>
    <t>1% or more of their revenues from exploration mining extraction distribution or refining of hard coal and lignite</t>
  </si>
  <si>
    <t>1 % ar daugiau savo pajamų iš akmens anglių ir lignito žvalgybos, kasybos, gavybos, paskirstymo ar perdirbimo</t>
  </si>
  <si>
    <t>co najmniej 1% swoich przychodów z działalności związanej z poszukiwaniem, wydobyciem, dystrybucją lub rafinacją węgla kamiennego i brunatnego</t>
  </si>
  <si>
    <t>1% ou mais do seu rédito é proveniente da exploração, mineração, extração, distribuição ou refinação de carvão betuminoso e linhito</t>
  </si>
  <si>
    <t>Empresas que generan el 1 % o más de sus ingresos procedentes de la exploración, la extracción, la distribución o el refinado de hulla y lignito.</t>
  </si>
  <si>
    <t>template_label_10_percent_or_more_of_their_revenues_from_the_exploration_extraction_distribution_or_refining_of_oil_fuels</t>
  </si>
  <si>
    <t>10% or more of their revenues from the exploration extraction distribution or refining of oil fuels</t>
  </si>
  <si>
    <t>Įmonės, kurios gauna 10 % ar daugiau pajamų iš naftos žvalgybos, gavybos, paskirstymo ar perdirbimo.</t>
  </si>
  <si>
    <t>co najmniej 10% swoich przychodów z działalności związanej z poszukiwaniem, wydobyciem, dystrybucją lub rafinacją paliw olejowych</t>
  </si>
  <si>
    <t xml:space="preserve">Empresas que obtêm 10 % ou mais do seu rédito da exploração, extração, distribuição ou refinação de combustíveis petrolíferos;
</t>
  </si>
  <si>
    <t>empresas que obtienen el 10 % o más de sus ingresos de la exploración, extracción, distribución o refinación de combustibles derivados del petróleo</t>
  </si>
  <si>
    <t>template_label_50_percent_or_more_of_their_revenues_from_the_exploration_extraction_manufacturing_or_distribution_of_gaseous_fuels</t>
  </si>
  <si>
    <t>50% or more of their revenues from the exploration extraction manufacturing or distribution of gaseous fuels</t>
  </si>
  <si>
    <t xml:space="preserve">Įmonės, gaunančios 50 % ar daugiau pajamų iš dujinio kuro žvalgybos, gavybos, gamybos ar paskirstymo
</t>
  </si>
  <si>
    <t>co najmniej 50% swoich przychodów z działalności związanej z poszukiwaniem, wydobyciem, dystrybucją lub rafinacją paliw gazowych</t>
  </si>
  <si>
    <t xml:space="preserve">Empresas que obtêm 50 % ou mais do seu rédito da exploração, extração, fabrico ou distribuição de combustíveis gasosos
</t>
  </si>
  <si>
    <t>Las empresas que obtengan un 50 % o más de sus ingresos de la prospección, la extracción, la fabricación o la distribución de combustibles gaseosos.</t>
  </si>
  <si>
    <t>template_label_50_percent_or_more_of_their_revenues_from_electricity_generation</t>
  </si>
  <si>
    <t>50% or more of their revenues from electricity generation with a GHG intensity of more than 100g CO2 e kWh</t>
  </si>
  <si>
    <t>Įmonės, gaunančios 50 % ar daugiau pajamų iš elektros energijos gamybos, kurios ŠESD intensyvumas yra didesnis nei 100 g CO2 e/kWh</t>
  </si>
  <si>
    <t>50% swoich przychodów z produkcji energii elektrycznej, której intensywność emisji gazów cieplarnianych wynosi powyżej 100 g CO2e/kWh</t>
  </si>
  <si>
    <t>Empresas que obtêm 50% ou mais do seu rédito da produção de eletricidade com uma intensidade de emissões de gases com efeito de estufa superior a 100 g CO2e/kWh.</t>
  </si>
  <si>
    <t>Las empresas que obtengan un 50 % o más de sus ingresos de la generación de electricidad con una intensidad de gases de efecto invernadero superior a los 100 g CO2 e/kWh.</t>
  </si>
  <si>
    <t>template_label_none_of_the_above</t>
  </si>
  <si>
    <t>None of the above</t>
  </si>
  <si>
    <t>Niekas iš aukščiau išvardytų</t>
  </si>
  <si>
    <t>żadne z powyższych</t>
  </si>
  <si>
    <t>Nenhum dos anteriores</t>
  </si>
  <si>
    <t>Ninguna de las anteriores</t>
  </si>
  <si>
    <t>template_label_undertakings_are_excluded_from_any_eu_reference_benchmarks_that_are_aligned_with_the_paris_agreement</t>
  </si>
  <si>
    <t>Undertakings are excluded from any EU reference benchmarks that are aligned with the Paris Agreement</t>
  </si>
  <si>
    <t>Įmonės neįtraukiamos į jokius su Paryžiaus susitarimu suderintus ES lyginamuosius etalonus</t>
  </si>
  <si>
    <t>Jednostki są wykluczone z jakichkolwiek unijnych wskaźników referencyjnych, które są zgodne z porozumieniem paryskim.</t>
  </si>
  <si>
    <t>A empresa deve divulgar se está excluída de quaisquer índices de referência da UE que estejam alinhados com o Acordo de Paris.</t>
  </si>
  <si>
    <t>Las empresas están excluidas de cualquier punto de referencia de la UE alineado con el Acuerdo de París.</t>
  </si>
  <si>
    <t>template_label_c9_gender_diversity_ratio_in_the_governance_body</t>
  </si>
  <si>
    <t>C9 – Lyčių įvairovės santykis valdymo organe</t>
  </si>
  <si>
    <t>C9 – Wskaźnik zróżnicowania organu zarządzającego pod względem płci</t>
  </si>
  <si>
    <t>C9 – Proporção de diversidade de género no órgão de governação</t>
  </si>
  <si>
    <t>template_label_does_the_undertaking_have_a_governance_body_in_place</t>
  </si>
  <si>
    <t>Does the undertaking have a governance body in place?</t>
  </si>
  <si>
    <t>Ar įmonė yra įsteigusi valdymo organą?</t>
  </si>
  <si>
    <t>Czy jednostka posiada organ zarządzający?</t>
  </si>
  <si>
    <t>A entidade tem um órgão de governação estabelecido?</t>
  </si>
  <si>
    <t xml:space="preserve">¿La empresa tiene un órgano de gobernanza establecido? 
</t>
  </si>
  <si>
    <t>template_label_number_of_female_board_members_at_the_end_of_the_reporting_period</t>
  </si>
  <si>
    <t>Number of female board members at the end of the reporting period</t>
  </si>
  <si>
    <t>Moterų valdybos narių skaičius ataskaitinio laikotarpio pabaigoje</t>
  </si>
  <si>
    <t>Liczba kobiet w organie zarządzającym na koniec okresu sprawozdawczego</t>
  </si>
  <si>
    <t>Número de membros do conselho do sexo feminino no final do período de relato</t>
  </si>
  <si>
    <t>Número de miembros femeninos del consejo al final del período de reporte</t>
  </si>
  <si>
    <t>template_label_number_of_male_board_members_at_the_end_of_the_reporting_period</t>
  </si>
  <si>
    <t>Number of male board members at the end of the reporting period</t>
  </si>
  <si>
    <t>Vyrų valdybos narių skaičius ataskaitinio laikotarpio pabaigoje</t>
  </si>
  <si>
    <t>Liczba mężczyzn w organie zarządzającym na koniec okresu sprawozdawczego</t>
  </si>
  <si>
    <t>Número de membros masculinos do conselho no final do período de reporte</t>
  </si>
  <si>
    <t>Número de miembros masculinos del consejo al final del período de reporte</t>
  </si>
  <si>
    <t>template_label_gender_diversity_ratio_in_governance_body</t>
  </si>
  <si>
    <t>Gender diversity ratio in governance body</t>
  </si>
  <si>
    <t>Lyčių įvairovės santykis valdymo organe</t>
  </si>
  <si>
    <t>Wskaźnik zróżnicowania organu zarządzającego pod względem płci</t>
  </si>
  <si>
    <t>Rácio de diversidade de género no órgão de governação</t>
  </si>
  <si>
    <t>Ratio de diversidad de género en el órgano de gobierno</t>
  </si>
  <si>
    <t>template_label_disclosure_of_any_other_governance_and_or_entity_specific_governance_disclosures</t>
  </si>
  <si>
    <t>Disclosure of any other governance and or entity specific governance disclosures</t>
  </si>
  <si>
    <t>Kitų (įskaitant įmonei specifinių) valdymo atskleidimų pateikimas</t>
  </si>
  <si>
    <t>Ujawnienie wszelkich innych ujawnień dotyczących ładu korporacyjnego i/lub ujawnień dotyczących ładu korporacyjnego specyficznych dla danej jednostki</t>
  </si>
  <si>
    <t>Divulgação de quaisquer outras divulgações de governação e/ou divulgações de governação específicas da entidade</t>
  </si>
  <si>
    <t>Divulgación de cualquier otra información de gobernanza y/o divulgaciones específicas de gobernanza de la entidad</t>
  </si>
  <si>
    <t>template_label_fuel_converter</t>
  </si>
  <si>
    <t>FUEL CONVERTER</t>
  </si>
  <si>
    <t>Kuro kovertavimo įrankis</t>
  </si>
  <si>
    <t>KONWERTER PALIWA</t>
  </si>
  <si>
    <t>CONVERSOR DE COMBUSTÍVEL</t>
  </si>
  <si>
    <t>CONVERTIDOR DE COMBUSTIBLE</t>
  </si>
  <si>
    <t>template_label_disclaimer</t>
  </si>
  <si>
    <t>DISCLAIMER:</t>
  </si>
  <si>
    <t>Paaiškinimas</t>
  </si>
  <si>
    <t>ZASTRZEŻENIE:</t>
  </si>
  <si>
    <t>AVISO:</t>
  </si>
  <si>
    <t>AVISO LEGAL:</t>
  </si>
  <si>
    <t>template_label_this_converter_is_intended_solely_to_illustrate_how_energy_consumption_in_mwh</t>
  </si>
  <si>
    <t>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t>
  </si>
  <si>
    <t>Šis kuro konvertavimo įrankis skirtas parodyti, kaip galima apskaičiuoti energijos suvartojimą (MWh) iš įvairių kuro rūšių. EFRAG neprisiima jokios atsakomybės už turinį ar už tiesiogines, netiesiogines ar atsitiktines pasekmes ar žalą, atsiradusią naudojant šį įrankį.</t>
  </si>
  <si>
    <t>Ten konwerter ma na celu jedynie zilustrowanie, w jaki sposób można obliczyć zużycie energii (w MWh) na podstawie różnych rodzajów paliw. EFRAG nie ponosi żadnej odpowiedzialności za treść ani za jakiekolwiek bezpośrednie, pośrednie lub przypadkowe skutki lub szkody wynikłe z korzystania z tego konwertera paliw.</t>
  </si>
  <si>
    <t>Este conversor destina-se exclusivamente a ilustrar como o consumo de energia (em MWh) pode ser calculado a partir de vários tipos de combustíveis. A EFRAG não assume qualquer responsabilidade ou obrigação pelo conteúdo ou por quaisquer consequências ou danos diretos, indiretos ou acidentais resultantes da utilização deste conversor de combustível.</t>
  </si>
  <si>
    <t>Este convertidor tiene la única finalidad de ilustrar cómo se puede calcular el consumo de energía (en MWh) a partir de diversos tipos de combustible. EFRAG no asume ninguna responsabilidad ni obligación por el contenido ni por cualquier consecuencia o daño directo, indirecto o accidental resultante del uso de este convertidor de combustible.</t>
  </si>
  <si>
    <t>template_label_please_note_that_the_typical_values_for_net_calorific_value_and_density_are_provided_for_each_fuel_type</t>
  </si>
  <si>
    <t>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t>
  </si>
  <si>
    <t>Atkreipkite dėmesį, kad kiekvienam kuro tipui pateikiamos grynosios šilumingumo vertės (NCV) ir tankio reikšmės. Tačiau šie parametrai gali skirtis priklausomai nuo nacionalinių reikalavimų, konkrečių kuro tiekėjų ypatumų ar kitų aplinkybių. Todėl naudotojai turėtų rankiniu būdu įvesti arba pakoreguoti NCV ir tankio reikšmes, kad jos atspindėtų jų konkrečią situaciją.</t>
  </si>
  <si>
    <t xml:space="preserve">Proszę zauważyć, że typowe wartości dla wartości kalorycznej netto (NCV) i gęstości są podane dla każdego rodzaju paliwa. Jednakże parametry te mogą się różnić w zależności od czynników takich jak krajowe przepisy, specyficzne cechy dostawców paliw lub inne okoliczności. W związku z tym użytkownicy powinni ręcznie wprowadzać lub dostosowywać wartość kaloryczną netto (NCV) i gęstość, aby odzwierciedlić swoją konkretną sytuację. </t>
  </si>
  <si>
    <t>Note que os valores típicos para o Valor Calorífico Líquido (NCV) e a Densidade são fornecidos para cada tipo de combustível. Contudo, estes parâmetros podem variar dependendo de fatores como regulamentos nacionais, características específicas dos fornecedores de combustível ou outras circunstâncias. Portanto, espera-se que os utilizadores insiram manualmente ou ajustem os valores de NCV e Densidade para refletir a sua situação específica.</t>
  </si>
  <si>
    <t>Tenga en cuenta que se proporcionan los valores típicos para el Valor Calorífico Neto (NCV) y la Densidad para cada tipo de combustible. Sin embargo, estos parámetros pueden variar dependiendo de factores como las regulaciones nacionales, características específicas de los proveedores de combustible u otras circunstancias. Por lo tanto, se espera que los usuarios introduzcan o ajusten manualmente los valores de NCV y Densidad para reflejar su situación específica.</t>
  </si>
  <si>
    <t>template_label_additionally_users_are_encouraged_to_determine_the_renewability_status_of_each_fuel_based_on_guarantees_of_origin</t>
  </si>
  <si>
    <t>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t>
  </si>
  <si>
    <t>Be to, vartotojai raginami nustatyti kiekvieno kuro atsinaujinamumo statusą, remdamiesi kilmės garantijomis, kaip nurodyta Europos Parlamento ir Tarybos Direktyvos 2018/2001/ES 19 straipsnyje dėl atsinaujinančių energijos išteklių naudojimo skatinimo. Kiekvieno kuro numatytasis atsinaujinamumo statusas yra tipinė prielaida ir, jei reikia, jis turėtų būti koreguojamas atsižvelgiant į geografines ar individualias aplinkybes.</t>
  </si>
  <si>
    <t>Dodatkowo, zaleca się, aby użytkownicy określili status odnawialności każdego paliwa na podstawie Gwarancji Pochodzenia, zgodnie z artykułem 19 dyrektywy europejskiej 2018/2001/UE dotyczącej promowania wykorzystania energii ze źródeł odnawialnych. Domyślny status odnawialności przypisany do każdego paliwa jest typowym założeniem i w razie potrzeby powinien zostać dostosowany na podstawie okoliczności geograficznych lub indywidualnych.</t>
  </si>
  <si>
    <t>Adicionalmente, recomenda-se que os utilizadores determinem o estado de renovabilidade de cada combustível com base nas Garantias de Origem, conforme descrito no Artigo 19 da Diretiva Europeia 2018/2001/CE sobre a promoção da utilização de energia proveniente de fontes renováveis. O estado de renovabilidade predefinido fornecido para cada combustível é uma suposição típica e deve ser ajustado, se necessário, com base em circunstâncias geográficas ou individuais.</t>
  </si>
  <si>
    <t>Adicionalmente, se anima a los usuarios a determinar el carácter renovable de cada combustible basándose en las Garantías de Origen, tal como se establece en el artículo 19 de la Directiva Europea 2018/2001/CE sobre la promoción del uso de energía procedente de fuentes renovables. El carácter renovable predeterminado para cada combustible es una suposición típica y deberá ajustarse si es necesario, teniendo en cuenta circunstancias geográficas o individuales.</t>
  </si>
  <si>
    <t>template_label_indicates_that_the_cell_should_be_filled_either_by_selecting_a_value_from_the_dropdown</t>
  </si>
  <si>
    <t>Indicates that the cell should be filled either by selecting a value from the dropdown (e.g. Type of fuel or Unit of Measurement) or by entering an amount.</t>
  </si>
  <si>
    <t>Nurodo, kad langelis turi būti užpildytas pasirenkant reikšmę iš išskleidžiamojo sąrašo (pvz., kuro tipą arba matavimo vienetą) arba įvedant kiekį.</t>
  </si>
  <si>
    <t>Wskazuje, że komórka powinna być wypełniona przez wybranie wartości z listy rozwijanej (np. Rodzaj paliwa lub Jednostka miary) lub przez wprowadzenie ilości.</t>
  </si>
  <si>
    <t>Indica que a célula deve ser preenchida selecionando um valor da lista pendente (por exemplo, Tipo de combustível ou Unidade de Medida) ou introduzindo um montante.</t>
  </si>
  <si>
    <t>Indica que la celda debe rellenarse bien seleccionando un valor del desplegable (por ejemplo, Tipo de combustible o Unidad de medida) o introduciendo una cantidad.</t>
  </si>
  <si>
    <t>template_label_fuel_type</t>
  </si>
  <si>
    <t>Fuel type</t>
  </si>
  <si>
    <t>Degalų rūšis</t>
  </si>
  <si>
    <t>Rodzaj paliwa</t>
  </si>
  <si>
    <t>Tipo de combustível</t>
  </si>
  <si>
    <t>Tipo de combustible</t>
  </si>
  <si>
    <t>template_label_amount</t>
  </si>
  <si>
    <t>Kiekis</t>
  </si>
  <si>
    <t>Ilość</t>
  </si>
  <si>
    <t>Quantidade</t>
  </si>
  <si>
    <t>Cantidad</t>
  </si>
  <si>
    <t>template_label_state_of_matter</t>
  </si>
  <si>
    <t>Medžiagos būsena</t>
  </si>
  <si>
    <t>Stan skupienia</t>
  </si>
  <si>
    <t>Estado da matéria</t>
  </si>
  <si>
    <t>Estado de la materia</t>
  </si>
  <si>
    <t>template_label_typical_renewable_state</t>
  </si>
  <si>
    <t>Typical renewable state</t>
  </si>
  <si>
    <t>Įprasta atsinaujinančios energijos būsena</t>
  </si>
  <si>
    <t>Typowy stan odnawialny</t>
  </si>
  <si>
    <t>Estado renovável típico</t>
  </si>
  <si>
    <t>Estado renovable típico</t>
  </si>
  <si>
    <t>template_label_calculated_energy_in_mwh</t>
  </si>
  <si>
    <t>Calculated Energy in MWh</t>
  </si>
  <si>
    <t>Apskaičiuota energija (MWh)</t>
  </si>
  <si>
    <t>Obliczona energia w MWh</t>
  </si>
  <si>
    <t>Energia Calculada em MWh</t>
  </si>
  <si>
    <t>Energía calculada en MWh</t>
  </si>
  <si>
    <t>template_label_usage_of_fuel_converter</t>
  </si>
  <si>
    <t>Usage of Fuel Converter:</t>
  </si>
  <si>
    <t>Kuro kovertavimo įrankio naudojimas:</t>
  </si>
  <si>
    <t>Użytkowanie konwertera paliwa:</t>
  </si>
  <si>
    <t>Uso do Conversor de Combustível:</t>
  </si>
  <si>
    <t>Uso del Convertidor de Combustible:</t>
  </si>
  <si>
    <t>template_label_1_in_cell_a9_select_the_fuel_used_searching_for_it_or_scrolling_down_the_list_displayed_clicking_the_cell</t>
  </si>
  <si>
    <t>1. In cell A9 select the Fuel used, searching for it or scrolling down the list displayed clicking the cell</t>
  </si>
  <si>
    <t>1. Langelyje A9 pasirinkite naudojamą kurą, ieškodami jo arba slinkdami žemyn rodomame sąraše spustelėdami langelį.</t>
  </si>
  <si>
    <t>1. W komórce A9 wybierz użyte paliwo, wyszukując je lub przewijając w dół wyświetlaną listę i klikając komórkę</t>
  </si>
  <si>
    <t>1. Na célula A9 selecione o combustível utilizado, procurando-o ou deslocando-se para baixo na lista exibida e clicando na célula.</t>
  </si>
  <si>
    <t>1. En la celda A9, seleccione el combustible utilizado, buscándolo o desplazándose por la lista mostrada y haciendo clic en la celda.</t>
  </si>
  <si>
    <t>template_label_2_in_cell_b9_select_the_unit_of_measurement_used</t>
  </si>
  <si>
    <t>2. In cell B9 select the Unit of measurement used</t>
  </si>
  <si>
    <t>2. Langelyje B9 pasirinkite naudojamą matavimo vienetą</t>
  </si>
  <si>
    <t>2. W komórce B9 wybierz użytą jednostkę miary</t>
  </si>
  <si>
    <t>2. Na célula B9 selecione a Unidade de medida utilizada.</t>
  </si>
  <si>
    <t>2. En la celda B9 seleccione la Unidad de medida utilizada</t>
  </si>
  <si>
    <t>template_label_3_in_cell_c9_select_the_amount_of_fuel_used</t>
  </si>
  <si>
    <t>3. In cell C9 select the Amount of fuel used</t>
  </si>
  <si>
    <t>3. Langelyje C9 pasirinkite sunaudoto kuro kiekį</t>
  </si>
  <si>
    <t>3. W komórce C9 wybierz Ilość zużytego paliwa</t>
  </si>
  <si>
    <t>3. Na célula C9 selecione a Quantidade de combustível usado</t>
  </si>
  <si>
    <t>3. En la celda C9 seleccione la Cantidad de combustible utilizado</t>
  </si>
  <si>
    <t>template_label_4_in_cell_d9_it_is_displayed_the_state_of_matter_for_the_fuel_selected</t>
  </si>
  <si>
    <t>4. In cell D9 it is displayed the State of matter for the Fuel selected</t>
  </si>
  <si>
    <t>Langelyje D9 rodoma pasirinkto kuro būsena</t>
  </si>
  <si>
    <t>4. W komórce D9 wyświetlany jest stan skupienia dla wybranego paliwa</t>
  </si>
  <si>
    <t>4. Na célula D9 é mostrado o Estado físico do Combustível selecionado</t>
  </si>
  <si>
    <t>4. En la celda D9 se muestra el estado de la materia para el combustible seleccionado.</t>
  </si>
  <si>
    <t>template_label_5_in_cell_e9_it_is_displayed_the_typical_renewability_state_for_the_fuel_selected</t>
  </si>
  <si>
    <t>5. In cell E9 it is displayed the Typical renewability state for the Fuel selected</t>
  </si>
  <si>
    <t>5. Langelyje E9 rodoma pasirinkto kuro tipinė atsinaujinamumo būsena.</t>
  </si>
  <si>
    <t>5 W komórce E9 wyświetlany jest Typowy stan odnawialności dla wybranego paliwa</t>
  </si>
  <si>
    <t>5. Na célula E9 é exibido o estado típico de renovabilidade para o combustível selecionado.</t>
  </si>
  <si>
    <t>5. En la celda E9 se muestra el carácter renovable típico para el combustible seleccionado.</t>
  </si>
  <si>
    <t>template_label_6_in_cell_f9_is_displayed_the_energy_produced_in_mega_watt_hours_by_the_amount_of_fuel_specified</t>
  </si>
  <si>
    <t>6. In cell F9 is displayed the Energy produced in Mega Watt hours by the Amount of Fuel specified</t>
  </si>
  <si>
    <t>Langelyje F9 pateikiama energija, pagaminta megavatvalandėmis pagal nurodytą degalų kiekį.</t>
  </si>
  <si>
    <t>6. W komórce F9 wyświetlana jest energia wyprodukowana w megawatogodzinach (MWh) przez określoną ilość paliwa</t>
  </si>
  <si>
    <t>6. Na célula F9 é exibida a Energia produzida em Megawatts-hora pela Quantidade de Combustível especificada</t>
  </si>
  <si>
    <t>6. En la celda F9 se muestra la Energía producida en Mega Vatios hora por la Cantidad de Combustible especificada</t>
  </si>
  <si>
    <t>template_label_7_in_cell_a28_is_displayed_the_total_energy_in_mega_watt_hours</t>
  </si>
  <si>
    <t>7. In cell A28 is displayed the Total Energy in Mega Watt hours</t>
  </si>
  <si>
    <t>Langelyje A28 pateikiama bendroji energija megavatvalandėmis</t>
  </si>
  <si>
    <t>7. W komórce A28 wyświetlana jest całkowita energia w megawatogodzinach</t>
  </si>
  <si>
    <t>7. Em A28 é apresentada a Energia Total em Megawatt-hora</t>
  </si>
  <si>
    <t>7. En la celda A28 se muestra la Energía Total en Mega Vatios hora</t>
  </si>
  <si>
    <t>template_label_8_in_cell_a31_is_displayed_the_total_renewable_energy_in_mega_watt_hours</t>
  </si>
  <si>
    <t>8. In cell A31 is displayed the Total Renewable Energy in Mega Watt hours</t>
  </si>
  <si>
    <t>Langelyje A31 rodoma bendro atsinaujinančios energijos, išreikštos megavatvalandėmis, suma.</t>
  </si>
  <si>
    <t>8. W komórce A31 wyświetlana jest całkowita energia odnawialna w megawatogodzinach</t>
  </si>
  <si>
    <t>8. Na célula A31 está exibida a Energia Renovável Total em Mega Watt horas</t>
  </si>
  <si>
    <t>8. En la celda A31 se muestra la Energía Renovable Total en Megavatios hora</t>
  </si>
  <si>
    <t>template_label_9_in_cell_b31_is_displayed_the_total_nonrenewable_energy_in_mega_watt_hours</t>
  </si>
  <si>
    <t>9. In cell B31 is displayed the Total Non-renewable Energy in Mega Watt hours</t>
  </si>
  <si>
    <t>Langelyje B31 rodoma bendroji neatsinaujinančios energijos suma megavatvalandėmis (MWh)</t>
  </si>
  <si>
    <t>9. W komórce B31 wyświetlana jest całkowita energia nieodnawialna w megawatogodzinach</t>
  </si>
  <si>
    <t>9. Na célula B31 é exibido o Total de Energia Não Renovável em Mega Watt hora</t>
  </si>
  <si>
    <t>9. En la celda B31 se muestra la Energía No Renovable Total en Megavatios hora</t>
  </si>
  <si>
    <t>template_label_10_further_notes_can_be_found_below</t>
  </si>
  <si>
    <t>10. Further notes can be found below</t>
  </si>
  <si>
    <t>10. Priklausomai nuo įmonės vykdomos veiklos rūšies, tikslinga įtraukti į šį standartą neįtrauktą papildomą informaciją (parametrus ir (arba) aprašomąją atskleistiną informaciją), kad būtų galima atskleisti tvarumo klausimus, dažnai pasitaikančius įmonės sektoriuje (t. y. tuos, su kuriais paprastai susiduria įmonės ar subjektai, veikiantys konkrečiame sektoriuje ar srityje) arba būdingus būtent šiai įmonei, nes tai padeda parengti aktualią, tikslią, palyginamą, suprantamą ir patikrinamą informaciją. Tai apima ir svarstymą, ar reikia atskleisti informaciją apie išmestą 3 lygio ŠESD kiekį (žr. šio standarto 50–53 straipsnius). B priedėlyje pateikiamas galimų tvarumo klausimų sąrašas.</t>
  </si>
  <si>
    <t>10. Dalsze uwagi można znaleźć poniżej</t>
  </si>
  <si>
    <t>10. Notas adicionais podem ser encontradas abaixo</t>
  </si>
  <si>
    <t>10. Más notas se pueden encontrar a continuación</t>
  </si>
  <si>
    <t>template_label_transfer_the_total_results_to_the_b3_fuel_energy_consumption_reporting_cell</t>
  </si>
  <si>
    <t>Transfer the total calculated results to the B3 "Fuel Energy Consumption" reporting cell</t>
  </si>
  <si>
    <t>Perkelkite bendrą apskaičiuotą rezultatą į B3 „Kuro energijos suvartojimas“ ataskaitos langelį</t>
  </si>
  <si>
    <t>Przenieś całkowite obliczone wyniki do komórki B3 Zużycie energii paliwowej</t>
  </si>
  <si>
    <t>Transfira o total dos resultados calculados para a célula de relatório B3 "Consumo de Energia de Combustíveis"</t>
  </si>
  <si>
    <t>Transfiera los resultados totales calculados a la celda de reporte B3 "Consumo de Energía por Combustible"</t>
  </si>
  <si>
    <t>template_label_total_energy</t>
  </si>
  <si>
    <t>Total Energy [MWh]</t>
  </si>
  <si>
    <t>Bendra energija [MWh]</t>
  </si>
  <si>
    <t>Całkowita energia [MWh]</t>
  </si>
  <si>
    <t>Energia Total [MWh]</t>
  </si>
  <si>
    <t>Consumo total de energía [MWh]</t>
  </si>
  <si>
    <t>template_label_total_renewable_energy</t>
  </si>
  <si>
    <t>Total Renewable Energy [MWh]</t>
  </si>
  <si>
    <t>Atsinaujinančiųjų išteklių energija (MWh)</t>
  </si>
  <si>
    <t>Całkowita energia odnawialna [MWh]</t>
  </si>
  <si>
    <t>Consumo Total de Energia Renovável [MWh]</t>
  </si>
  <si>
    <t>Consumo total de energía renovable [MWh]</t>
  </si>
  <si>
    <t>template_label_total_nonrenewable_energy</t>
  </si>
  <si>
    <t>Total Non-renewable Energy [MWh]</t>
  </si>
  <si>
    <t>Bendras neatsinaujinančios energijos suvartojimas [MWh]</t>
  </si>
  <si>
    <t>Całkowita energia nieodnawialna [MWh]</t>
  </si>
  <si>
    <t>Consumo total de energia não renovável [MWh]</t>
  </si>
  <si>
    <t>Consumo de energías no renovables [MWh]</t>
  </si>
  <si>
    <t>template_label_further_notes</t>
  </si>
  <si>
    <t>Further notes:</t>
  </si>
  <si>
    <t>Tolimesnės pastabos:</t>
  </si>
  <si>
    <t>Dalsze uwagi:</t>
  </si>
  <si>
    <t>Notas adicionais:</t>
  </si>
  <si>
    <t>Notas adicionales:</t>
  </si>
  <si>
    <t>template_label_the_converter_offers_the_possibility_of_calculating_simultaneously_up_to_10_different_types_of_fuel</t>
  </si>
  <si>
    <t>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t>
  </si>
  <si>
    <t xml:space="preserve">Įrankis siūlo galimybę vienu metu apskaičiuoti iki 10 skirtingų kuro rūšių. Norėdami tai padaryti, išplėskite paslėptas stulpelius naudodami pliuso piktogramą dokumento viršuje.
Kiekvienas išplėstas kuro įrankis veikia tiksliai taip, kaip aprašyta aukščiau.
Svarbu pažymėti, kad automatinis kuro konverterio atliktas skaičiavimas naudojant tipinius tos kuro rūšies NCV ir tankius. Jei įmonė gali pateikti konkrečius naudojamų kuro šaltinių NCV ir tankius, yra galimybė apskaičiuoti energijos suvartojimą per valandą (MWh), integruojant konkrečias vertes į formules, kurios yra automatizuotos kuro konverterio lape.
Žemiau pateiktos formulės tuo atveju, jei pageidaujama naudoti neautomatizuotą skaičiavimą su konkrečiomis vertėmis, o ne konverterio sprendimą. Jei jums reikia konvertuoti specifinių matavimų matavimo vienetus, naudokite matavimo vienetų įrankį. 
</t>
  </si>
  <si>
    <t>Konwerter oferuje możliwość jednoczesnego obliczania do 10 różnych rodzajów paliw. Aby to zrobić, proszę rozwinąć ukryte kolumny, korzystając z ikony plusa u góry dokumentu.
Każdy rozwinięty konwerter paliw działa dokładnie tak, jak wyjaśniono powyżej. 
Ważne jest, aby zauważyć, że automatyczne obliczenia wykonywane przez Konwerter Paliw są dokonywane przy użyciu wartości kalorycznej netto (NCV) i Gęstości, które są typowe dla danego rodzaju paliwa. Jeśli jednostka jest w stanie dostarczyć konkretne wartości NCV i gęstości używanych paliw, istnieje możliwość obliczenia Zużycia energii na godzinę w MWh, uwzględniając konkretne wartości w formułach zautomatyzowanych w arkuszu Konwertera Paliw.
Poniżej znajdują się formuły, na wypadek gdyby preferowane było rozwiązanie obliczeń niestandardowych, nieautomatycznych, z wykorzystaniem specyficznych wartości zamiast korzystania z Konwertera. Jeśli potrzebujesz przeliczyć jednostki miary swoich konkretnych wielkości, proszę użyj Konwertera Jednostek Miary.</t>
  </si>
  <si>
    <t>O conversor oferece a possibilidade de calcular simultaneamente até 10 tipos diferentes de combustível. Para isso, por favor expanda as colunas ocultas utilizando o ícone de mais no topo do documento.
Cada conversor de combustível expandido funciona exatamente como explicado acima.
É importante notar que o cálculo automático realizado pelo Conversor de Combustível é feito utilizando os PCI e Densidades típicos para aquele tipo específico de combustível. Se a empresa for capaz de fornecer os PCI e Densidades específicos dos combustíveis utilizados, há a possibilidade de calcular o Consumo de Energia por Hora em MWh incorporando os valores específicos nas fórmulas automatizadas na folha do Conversor de Combustível.
Abaixo estão as fórmulas, caso a solução de um cálculo não automatizado usando valores específicos seja preferida à do Conversor. Se precisar converter a Unidade de Medida das suas medições específicas, por favor utilize o Conversor de Unidade de Medida.</t>
  </si>
  <si>
    <t xml:space="preserve">El convertidor ofrece la posibilidad de calcular simultáneamente hasta 10 tipos diferentes de combustible. Para hacerlo, por favor expanda las columnas ocultas utilizando el icono de más en la parte superior del documento.
Cada convertidor de combustible expandido funciona exactamente como se explicó anteriormente.
Es importante tener en cuenta que el cálculo automático realizado por el Convertidor de Combustible se lleva a cabo utilizando los Poderes Caloríficos Netos (PCN) y Densidades que son típicos para ese tipo específico de combustible. Si la entidad puede proporcionar los PCN y las Densidades específicas de los Combustibles utilizados, existe la posibilidad de calcular el Consumo Energético por Hora en MWh incorporando los valores específicos en las fórmulas que están automatizadas en la hoja del Convertidor de Combustible.
A continuación, se presentan las fórmulas, por si se prefiere la solución de un cálculo no automatizado usando valores específicos en lugar del Convertidor. Si necesita convertir la Unidad de Medida de sus medidas específicas, por favor utilice el Convertidor de Unidad de Medida.
</t>
  </si>
  <si>
    <t>template_label_energy_consumption_per_hour_in_mwh_for_solid_fuels</t>
  </si>
  <si>
    <t>Energy Consumption per Hour in MWh for Solid Fuels:</t>
  </si>
  <si>
    <t>Kietojo kuro energijos suvartojimas per valandą (MWh):</t>
  </si>
  <si>
    <t>Zużycie energii na godzinę w MWh dla paliw stałych:</t>
  </si>
  <si>
    <t>Consumo de Energia por Hora em MWh para Combustíveis Sólidos:</t>
  </si>
  <si>
    <t>Consumo de energía por hora en MWh para combustibles sólidos:</t>
  </si>
  <si>
    <t>template_label_energy_solid_fuels</t>
  </si>
  <si>
    <t>Energy [MWh] = Mass [t] * NCV [MWh/t]</t>
  </si>
  <si>
    <t>Energija [MWh] = Masė [t] * NCV [MWh/t]</t>
  </si>
  <si>
    <t>Energia [MWh] = Masa [t] * NCV [MWh/t]</t>
  </si>
  <si>
    <t>Energia [MWh] = Massa [t] * PCI [MWh/t]</t>
  </si>
  <si>
    <t xml:space="preserve">Energía [MWh] = Masa [t] * PCI [MWh/t] 
</t>
  </si>
  <si>
    <t>template_label_energy_consumption_per_hour_in_mwh_for_liquid_fuels</t>
  </si>
  <si>
    <t>Energy Consumption per Hour in MWh for Liquid Fuels:</t>
  </si>
  <si>
    <t>Skystųjų degalų energijos suvartojimas per valandą MWh:</t>
  </si>
  <si>
    <t>Zużycie energii na godzinę w MWh dla paliw ciekłych:</t>
  </si>
  <si>
    <t>Consumo de Energia por Hora em MWh para Combustíveis Líquidos:</t>
  </si>
  <si>
    <t>Consumo de energía por hora en MWh para combustibles líquidos:</t>
  </si>
  <si>
    <t>template_label_mass_liquid_fuels</t>
  </si>
  <si>
    <t>Mass [t] = Volume [L] * Density [t/L]</t>
  </si>
  <si>
    <t>Masė [t] = Tūris [L] * Tankis [t/L]</t>
  </si>
  <si>
    <t>Masa [t] = Objętość [L] * Gęstość [t/L]</t>
  </si>
  <si>
    <t>Massa [t] = Volume [L] * Densidade [t/L]</t>
  </si>
  <si>
    <t>Masa [t] = Volumen [L] * Densidad [t/L]</t>
  </si>
  <si>
    <t>template_label_energy_liquid_fuels</t>
  </si>
  <si>
    <t>Energy [MWh] = Mass [t] * [MWh/t]</t>
  </si>
  <si>
    <t>Energija [MWh] = Masė [t] * [MWh/t]</t>
  </si>
  <si>
    <t>Energia [MWh] = Masa [t] * [MWh/t]</t>
  </si>
  <si>
    <t>Energia [MWh] = Massa [t] * [MWh/t]</t>
  </si>
  <si>
    <t>Energía [MWh] = Masa [t] * [MWh/t]</t>
  </si>
  <si>
    <t>template_label_energy_consumption_per_hour_in_mwh_for_gaseous_fuels</t>
  </si>
  <si>
    <t>Energy Consumption per Hour in MWh for Gaseous Fuels:</t>
  </si>
  <si>
    <t>Energijos suvartojimas per valandą MWh dujiniams kurams:</t>
  </si>
  <si>
    <t>Zużycie energii na godzinę w MWh dla paliw gazowych:</t>
  </si>
  <si>
    <t>Consumo de Energia por Hora em MWh para Combustíveis Gasosos:</t>
  </si>
  <si>
    <t>Consumo de energía por hora en MWh para combustibles gaseosos:</t>
  </si>
  <si>
    <t>template_label_mass_gaseous_fuels</t>
  </si>
  <si>
    <t>Mass [t] = Volume [m³] * Density [t/m³]</t>
  </si>
  <si>
    <t>Masė [t] = Tūris [m³] * Tankis [t/m³]</t>
  </si>
  <si>
    <t>Masa [t] = Objętość [m³] * Gęstość [t/m³]</t>
  </si>
  <si>
    <t>Massa [t] = Volume [m³] * Densidade [t/m³]</t>
  </si>
  <si>
    <t>Masa [t] = Volumen [m³] * Densidad [t/m³]</t>
  </si>
  <si>
    <t>template_label_energy_gaseous_fuels</t>
  </si>
  <si>
    <t>Energía [MWh] = Masa [t] * PCI [MWh/t]</t>
  </si>
  <si>
    <t>template_label_unit_of_measurement_converter</t>
  </si>
  <si>
    <t>UNIT OF MEASUREMENT CONVERTER</t>
  </si>
  <si>
    <t>Matavimo vienetų keitiklis</t>
  </si>
  <si>
    <t>PRZELICZNIK JEDNOSTEK MIARY</t>
  </si>
  <si>
    <t>CONVERSOR DE UNIDADES DE MEDIDA</t>
  </si>
  <si>
    <t>CONVERTIDOR DE UNIDADES DE MEDIDA</t>
  </si>
  <si>
    <t>template_label_from_capital_case</t>
  </si>
  <si>
    <t xml:space="preserve">From </t>
  </si>
  <si>
    <t>Nuo</t>
  </si>
  <si>
    <t>Od</t>
  </si>
  <si>
    <t>De</t>
  </si>
  <si>
    <t>Desde</t>
  </si>
  <si>
    <t>template_label_unit_of_measurement_of_mass_converter</t>
  </si>
  <si>
    <t>Unit of measurement of Mass Converter</t>
  </si>
  <si>
    <t>Masės konverterio matavimo vienetas</t>
  </si>
  <si>
    <t>Jednostka miary przelicznika masy</t>
  </si>
  <si>
    <t>Unidade de medida do Conversor de Massa</t>
  </si>
  <si>
    <t>Unidad de medida del conversor de masa</t>
  </si>
  <si>
    <t>template_label_unit_of_measurement_of_volume_converter</t>
  </si>
  <si>
    <t>Unit of measurement of Volume Converter</t>
  </si>
  <si>
    <t>Tūrio konverterio matavimo vienetas</t>
  </si>
  <si>
    <t>Jednostka miary przelicznika objętości</t>
  </si>
  <si>
    <t>Unidade de medida do Conversor de Volume</t>
  </si>
  <si>
    <t>Unidad de medida del Convertidor de Volumen</t>
  </si>
  <si>
    <t>template_label_unit_of_measurement_of_energy_consumption_per_hour</t>
  </si>
  <si>
    <t>Unit of measurement of Energy Consumption per Hour</t>
  </si>
  <si>
    <t>Energijos suvartojimo per valandą matavimo vienetas</t>
  </si>
  <si>
    <t>Jednostka miary zużycia energii na godzinę</t>
  </si>
  <si>
    <t>Unidade de medição do Consumo de Energia por Hora</t>
  </si>
  <si>
    <t>Unidad de medida del consumo de energía por hora</t>
  </si>
  <si>
    <t>template_label_unit_of_measurement_of_ncv_converter</t>
  </si>
  <si>
    <t>Unit of measurement of NCV Converter</t>
  </si>
  <si>
    <t>NVC konverterio matavimo vienetas</t>
  </si>
  <si>
    <t>Jednostka miary przelicznika NCV</t>
  </si>
  <si>
    <t>Unidade de medida do conversor NCV</t>
  </si>
  <si>
    <t>Unidad de medida del convertidor NCV</t>
  </si>
  <si>
    <t>template_label_unit_of_measurement_of_density_converter</t>
  </si>
  <si>
    <t>Unit of measurement of Density Converter</t>
  </si>
  <si>
    <t>Tankio konverterio matavimo vienetas</t>
  </si>
  <si>
    <t>Jednostka miary przelicznika gęstości</t>
  </si>
  <si>
    <t>Unidade de medição do Conversor de Densidade</t>
  </si>
  <si>
    <t xml:space="preserve">Unidad de medida del Convertidor de Densidad
</t>
  </si>
  <si>
    <t>template_label_usage_of_unit_of_measurement_converter</t>
  </si>
  <si>
    <t>Usage of Unit of Measurement Converter</t>
  </si>
  <si>
    <t>Matavimo vienetų konverterio naudojimas</t>
  </si>
  <si>
    <t>Użytkowanie Przelicznika jednostek miar</t>
  </si>
  <si>
    <t>Utilização do Conversor de Unidade de Medida</t>
  </si>
  <si>
    <t>Uso del Convertidor de Unidad de Medida</t>
  </si>
  <si>
    <t>template_label_steps_to_follow_for_the_mass_table</t>
  </si>
  <si>
    <t>Steps to follow for the Mass table:</t>
  </si>
  <si>
    <t>Veiksmai, kuriuos reikia atlikti masės lentelėje:</t>
  </si>
  <si>
    <t>Kroki do wykonania dla Tabeli masy:</t>
  </si>
  <si>
    <t xml:space="preserve">Passos a seguir para a tabela de Massa:
</t>
  </si>
  <si>
    <t>Pasos a seguir para la tabla de Masa:</t>
  </si>
  <si>
    <t>template_label_1_in_the_cell_b5_of_the_table_related_to_the_unit_of_measurement_of_mass_converter</t>
  </si>
  <si>
    <t>1. In the cell B5 of the table related to the Unit of measurement of Mass Converter should be inserted the Unit of measurement to convert.</t>
  </si>
  <si>
    <t>1. Lentelės langelyje B5 („Masės konverterio vienetas“) įrašykite tą matavimo vienetą, kurį norite konvertuoti.</t>
  </si>
  <si>
    <t>1. W komórce B5 tabeli dotyczącej Jednostki miary przelicznika masy powinna zostać wstawiona jednostka miary do przeliczenia.</t>
  </si>
  <si>
    <t>1. Na célula B5 da tabela relacionada com a Unidade de medição do Conversor de Massa deve ser inserida a Unidade de medição para converter.</t>
  </si>
  <si>
    <t>En la celda B5 de la tabla relacionada con la Unidad de medida del Convertidor de Masa, debe insertarse la Unidad de medida a convertir.</t>
  </si>
  <si>
    <t>template_label_2_then_in_the_cell_b6_the_amount_of_mass_can_be_inserted</t>
  </si>
  <si>
    <t>2. Then in the cell B6 the amount of mass can be inserted.</t>
  </si>
  <si>
    <t>2. Tada langelyje B6 įrašykite masės kiekį.</t>
  </si>
  <si>
    <t>2. Następnie w komórce B6 można wprowadzić ilość masy.</t>
  </si>
  <si>
    <t>2. De seguida, na célula B6, pode ser inserido o valor da massa.</t>
  </si>
  <si>
    <t>Luego, en la celda B6 se puede insertar la cantidad de masa.</t>
  </si>
  <si>
    <t>template_label_3_finally_in_the_cell_d5_there_should_be_the_unit_of_measurement_of_interest</t>
  </si>
  <si>
    <t>3. Finally in the cell D5 there should be the unit of measurement of interest.</t>
  </si>
  <si>
    <t>3. Galiausiai langelyje D5 nurodykite atitinkamą matavimo vienetą.</t>
  </si>
  <si>
    <t>3. Na koniec w komórce D5 powinna znaleźć się interesująca nas jednostka miary.</t>
  </si>
  <si>
    <t>3. Por fim, na célula D5 deve constar a unidade de medida de interesse.</t>
  </si>
  <si>
    <t>Finalmente, en la celda D5 debe estar la unidad de medida de interés.</t>
  </si>
  <si>
    <t>template_label_4_the_outcome_of_the_conversion_will_be_displayed_in_the_cell_d6</t>
  </si>
  <si>
    <t>4. The outcome of the conversion will be displayed in the cell D6.</t>
  </si>
  <si>
    <t>Konvertavimo rezultatas bus rodomas langelyje D6.</t>
  </si>
  <si>
    <t>4. Wynik konwersji zostanie wyświetlony w komórce D6.</t>
  </si>
  <si>
    <t>4. O resultado da conversão será exibido na célula D6.</t>
  </si>
  <si>
    <t>El resultado de la conversión se mostrará en la celda D6.</t>
  </si>
  <si>
    <t>template_label_the_steps_to_follow_for_the_other_tables</t>
  </si>
  <si>
    <t>The steps to follow for the other tables (Volume, Energy Consumption, Density and NCV) are the same of the Mass table.</t>
  </si>
  <si>
    <t xml:space="preserve">
Kitoms lentelėms (tūrio, energijos suvartojimo, tankio ir NCV) taikomi tie patys žingsniai kaip masės lentelei.</t>
  </si>
  <si>
    <t>Kroki do wykonania dla pozostałych tabel (Objętość, Zużycie energii, Gęstość i NCV) są takie same jak dla Tabeli masy.</t>
  </si>
  <si>
    <t xml:space="preserve">Os passos a seguir para as outras tabelas (Volume, Consumo de Energia, Densidade e PCI) são os mesmos da tabela Massa. 
</t>
  </si>
  <si>
    <t>Los pasos a seguir para las otras tablas (Volumen, Consumo de Energía, Densidad y NCV) son los mismos que para la tabla de Masa.</t>
  </si>
  <si>
    <t>template_label_below_are_specified_all_the_units_of_measurement_conversions_of_each_table</t>
  </si>
  <si>
    <t>Below are specified all the Units of measurement conversions of each table.</t>
  </si>
  <si>
    <t>Žemiau pateikiami visų lentelių matavimo vienetų konvertavimai.</t>
  </si>
  <si>
    <t>Poniżej określono wszystkie przeliczenia jednostek miar dla każdej tabeli.</t>
  </si>
  <si>
    <t>A seguir estão especificadas todas as conversões de unidades de medida de cada tabela.</t>
  </si>
  <si>
    <t>A continuación se especifican todas las conversiones de unidades de medida de cada tabla.</t>
  </si>
  <si>
    <t>template_label_unit_of_measurement_of_mass_converter_list</t>
  </si>
  <si>
    <t>▪ Unit of measurement of Mass Converter:</t>
  </si>
  <si>
    <t>▪ Jednostka miary przelicznika masy:</t>
  </si>
  <si>
    <t>▪ Unidade de medida do conversor de massa:</t>
  </si>
  <si>
    <t>▪ Unidad de medida del Convertidor de Masa:</t>
  </si>
  <si>
    <t>template_label_unit_of_measurement_of_volume_converter_list</t>
  </si>
  <si>
    <t>▪ Unit of measurement of Volume Converter:</t>
  </si>
  <si>
    <t>▪ Jednostka miary przelicznika objętości:</t>
  </si>
  <si>
    <t>▪ Unidade de medida do Conversor de Volume:</t>
  </si>
  <si>
    <t>▪ Unidad de medida del Convertidor de Volumen:</t>
  </si>
  <si>
    <t>template_label_unit_of_measurement_of_energy_converter_list</t>
  </si>
  <si>
    <t>▪ Unit of measurement of Energy Converter:</t>
  </si>
  <si>
    <t>Energijos konverterio matavimo vienetas</t>
  </si>
  <si>
    <t>▪ Jednostka miary przelicznika energii:</t>
  </si>
  <si>
    <t>▪ Unidade de medida do Conversor de Energia:</t>
  </si>
  <si>
    <t>▪ Unidad de medida del Convertidor de Energía:</t>
  </si>
  <si>
    <t>template_label_unit_of_measurement_of_density_converter_list</t>
  </si>
  <si>
    <t>▪ Unit of measurement of Density Converter:</t>
  </si>
  <si>
    <t>▪ Jednostka miary przelicznika gęstości:</t>
  </si>
  <si>
    <t>▪ Unidade de medida do Conversor de Densidade:</t>
  </si>
  <si>
    <t>▪ Unidad de medida del Convertidor de Densidad:</t>
  </si>
  <si>
    <t>template_label_unit_of_measurement_of_ncv_converter_list</t>
  </si>
  <si>
    <t>▪ Unit of measurement of NCV Converter:</t>
  </si>
  <si>
    <t>▪ Jednostka miary przelicznika NCV:</t>
  </si>
  <si>
    <t>▪ Unidade de medida do Conversor NCV:</t>
  </si>
  <si>
    <t>▪ Unidad de medida del convertidor NCV:</t>
  </si>
  <si>
    <t>template_label_incomplete</t>
  </si>
  <si>
    <t>INCOMPLETE</t>
  </si>
  <si>
    <t>NEBAIGTA</t>
  </si>
  <si>
    <t>NIEKOMPLETNY</t>
  </si>
  <si>
    <t>INCOMPLETO</t>
  </si>
  <si>
    <t>template_label_complete</t>
  </si>
  <si>
    <t>COMPLETE</t>
  </si>
  <si>
    <t>BAIGTA</t>
  </si>
  <si>
    <t>KOMPLETNY</t>
  </si>
  <si>
    <t>COMPLETO</t>
  </si>
  <si>
    <t>template_label_missing_value</t>
  </si>
  <si>
    <t>MISSING VALUE</t>
  </si>
  <si>
    <t>TRŪKSTAMA REIKŠMĖ</t>
  </si>
  <si>
    <t>BRAK WARTOŚCI</t>
  </si>
  <si>
    <t>VALOR EM FALTA</t>
  </si>
  <si>
    <t xml:space="preserve">VALOR NO INFORMADO </t>
  </si>
  <si>
    <t>template_label_error</t>
  </si>
  <si>
    <t>ERROR</t>
  </si>
  <si>
    <t>KLAIDA</t>
  </si>
  <si>
    <t>BŁĄD</t>
  </si>
  <si>
    <t>ERRO</t>
  </si>
  <si>
    <t>template_label_value_inconsistency</t>
  </si>
  <si>
    <t>VALUE INCONSISTENCY</t>
  </si>
  <si>
    <t>VERTĖS NESUTAPIMAS</t>
  </si>
  <si>
    <t>NIESPÓJNOŚĆ WARTOŚCI</t>
  </si>
  <si>
    <t>INCONSISTÊNCIA DE VALORES</t>
  </si>
  <si>
    <t>INCONSISTENCIA DE VALOR</t>
  </si>
  <si>
    <t>template_label_error_plus_value_inconsistency</t>
  </si>
  <si>
    <t>ERROR + VALUE INCONSISTENCY</t>
  </si>
  <si>
    <t>KLAIDA + VERTĖS NESUTAPIMAS</t>
  </si>
  <si>
    <t>BŁĄD + NIESPÓJNOŚĆ WARTOŚCI</t>
  </si>
  <si>
    <t>ERRO + INCONSISTÊNCIA DE VALOR</t>
  </si>
  <si>
    <t>ERROR+INCONSISTENCIA DE VALOR</t>
  </si>
  <si>
    <t>template_label_error_plus_missing_value_plus_value_inconsistency</t>
  </si>
  <si>
    <t>ERROR + MISSING VALUE + VALUE INCONSISTENCY</t>
  </si>
  <si>
    <t>KLAIDA + TRŪKSTAMA REIKŠMĖ + VERTĖS NENUOSEKLUMAS</t>
  </si>
  <si>
    <t>BŁĄD + BRAK WARTOŚCI + NIESPÓJNOŚĆ WARTOŚCI</t>
  </si>
  <si>
    <t>ERRO + VALOR EM FALTA + INCONSISTÊNCIA DE VALOR</t>
  </si>
  <si>
    <t>ERROR+VALOR NO INFORMADO+INCONSISTENCIA DE VALOR</t>
  </si>
  <si>
    <t>template_label_error_plus_missing_value</t>
  </si>
  <si>
    <t>ERROR + MISSING VALUE</t>
  </si>
  <si>
    <t>KLAIDA + TRŪKSTAMA VERTĖ</t>
  </si>
  <si>
    <t>BŁĄD + BRAK WARTOŚCI</t>
  </si>
  <si>
    <t>ERRO + VALOR EM FALTA</t>
  </si>
  <si>
    <t xml:space="preserve">ERROR+VALOR NO INFORMADO </t>
  </si>
  <si>
    <t>template_label_missing_value_plus_value_inconsistency</t>
  </si>
  <si>
    <t>MISSING VALUE + VALUE INCONSISTENCY</t>
  </si>
  <si>
    <t>TRŪKSTAMA REIKŠMĖ + VERTĖS NEATITIKIMAS</t>
  </si>
  <si>
    <t>BRAKUJĄCA WARTOŚĆ + NIESPÓJNOŚĆ WARTOŚCI</t>
  </si>
  <si>
    <t>VALOR EM FALTA + INCONSISTÊNCIA DE VALOR</t>
  </si>
  <si>
    <t>VALOR NO INFORMADO+ INCOSISTENCIA DE VALOR</t>
  </si>
  <si>
    <t>template_label_invalid_url</t>
  </si>
  <si>
    <t>INVALID URL</t>
  </si>
  <si>
    <t>NETINKAMAS URL</t>
  </si>
  <si>
    <t>NIEPOPRAWNY URL</t>
  </si>
  <si>
    <t>URL INVÁLIDO</t>
  </si>
  <si>
    <t>URL NO VÁLIDA</t>
  </si>
  <si>
    <t>template_label_ok</t>
  </si>
  <si>
    <t>OK</t>
  </si>
  <si>
    <t>TINKAMA</t>
  </si>
  <si>
    <t>CORRECTO</t>
  </si>
  <si>
    <t>template_label_liquid_warning</t>
  </si>
  <si>
    <t>ℹ️ Liquid fuel: please select one unit of measurement among m³ and L</t>
  </si>
  <si>
    <t>ℹ️ Skystas kuras: pasirinkite vieną matavimo vienetą iš m³ ir L</t>
  </si>
  <si>
    <t>ℹ️ Paliwo ciekłe: proszę wybrać jedną jednostkę miary spośród m³ i L</t>
  </si>
  <si>
    <t>ℹ️ Combustível líquido: selecione uma unidade de medida entre m³ e L</t>
  </si>
  <si>
    <t>ℹ️ Combustible líquido: por favor seleccione una unidad de medida entre m³ y L</t>
  </si>
  <si>
    <t>template_label_solid_warning</t>
  </si>
  <si>
    <t>ℹ️ Solid fuel: please select one unit of measurement among Gg, t, Kg and g</t>
  </si>
  <si>
    <t>ℹ️ Kietasis kuras: pasirinkite vieną matavimo vienetą tarp Gg, t, kg ir g</t>
  </si>
  <si>
    <t>ℹ️ Paliwo stałe: proszę wybrać jedną jednostkę miary spośród Gg, t, Kg i g</t>
  </si>
  <si>
    <t>ℹ️ Combustível sólido: por favor, selecione uma unidade de medida entre Gg, t, Kg e g</t>
  </si>
  <si>
    <t>ℹ️ Combustible sólido: seleccione una unidad de medida entre Gg, t, Kg y g</t>
  </si>
  <si>
    <t>template_label_gaseous_warning</t>
  </si>
  <si>
    <t>ℹ️ Gaseous fuel: please select one unit of measurement among m³ and L</t>
  </si>
  <si>
    <t>ℹ️ Dujinis kuras: pasirinkite vieną matavimo vienetą tarp m³ ir L</t>
  </si>
  <si>
    <t>ℹ️ Paliwo gazowe: proszę wybrać jedną jednostkę miary spośród m³ i L</t>
  </si>
  <si>
    <t>ℹ️ Combustível gasoso: por favor selecione uma unidade de medida entre m³ e L</t>
  </si>
  <si>
    <t>ℹ️ Combustible gaseoso: seleccione una unidad de medida entre m³ y L</t>
  </si>
  <si>
    <t>template_label_identifier_warning</t>
  </si>
  <si>
    <t xml:space="preserve">ℹ️  The entity identifier is a unique ID, that will enable identifying the company that has reported the information. The VSME Standard does not require any specific identifier. An entity identifier is required for the digital reporting. </t>
  </si>
  <si>
    <t>ℹ️ Įmonės identifikatorius yra unikalus ID, kuris leis identifikuoti įmonę, kuri pateikė informaciją. VSME standartas nereikalauja jokio konkretaus identifikatoriaus. Įmonės identifikatorius yra privalomas skaitmeniniam ataskaitų teikimui.</t>
  </si>
  <si>
    <t>ℹ️ Identyfikator jednostki to unikalne ID, które umożliwi identyfikację jednostki, która przekazała informacje. Standard VSME nie wymaga konkretnego identyfikatora. Identyfikator jednostki jest wymagany do sprawozdawczości elektronicznej.</t>
  </si>
  <si>
    <t>ℹ️ O identificador da entidade é um ID único que permitirá identificar a empresa que reportou a informação. A Norma VSME não exige nenhum identificador específico. Um identificador da entidade é necessário para a reporte digital.</t>
  </si>
  <si>
    <t xml:space="preserve">ℹ️ El identificador de entidad es un ID único que permitirá identificar a la empresa que ha informado la información. El Estándar VSME no requiere ningún identificador específico. Se requiere un identificador de entidad para la presentación digital. 
</t>
  </si>
  <si>
    <t>template_label_date_warning</t>
  </si>
  <si>
    <t>ℹ️ If VALUE INCONSISTENCY message appears on the right, please ensure that the reporting period end date is greater than the reporting period start date.</t>
  </si>
  <si>
    <t>ℹ️ Jei dešinėje pusėje pasirodys ŽINUTĖ APIE VERTĖS NESUTAPIMĄ, įsitikinkite, kad ataskaitinio laikotarpio pabaigos data yra vėlesnė už ataskaitinio laikotarpio pradžios datą.</t>
  </si>
  <si>
    <t>ℹ️ Jeśli po prawej stronie pojawi się komunikat NIESPÓJNOŚĆ WARTOŚCI, upewnij się, że data zakończenia okresu sprawozdawczego jest późniejsza niż data rozpoczęcia okresu sprawozdawczego.</t>
  </si>
  <si>
    <t>ℹ️ Se a mensagem VALOR INCONSISTENTE aparecer à direita, por favor assegure-se de que a data final do período de reporte é superior à data inicial do período de reporte.</t>
  </si>
  <si>
    <t>ℹ️ Si aparece el mensaje INCONSISTENCIA DE VALOR a la derecha, por favor asegúrese de que la fecha de finalización del período informado sea posterior a la fecha de inicio del período informado.</t>
  </si>
  <si>
    <t>template_label_additional_rows_warning</t>
  </si>
  <si>
    <t>ℹ️  Lists can be expanded using the little [+] button on the left.  If the number of rows is not sufficient, those can be added by right clicking the second row and selecting "Insert row".</t>
  </si>
  <si>
    <t>ℹ️ Sąrašai gali būti išplėsti paspaudus mažą mygtuką [+] kairėje. Jei eilučių skaičius yra nepakankamas, jas galima pridėti dešiniuoju pelės klavišu spustelėjus antrą eilutę ir pasirinkus "Įterpti eilutę".</t>
  </si>
  <si>
    <t>ℹ️ Listy można rozwijać, używając małego przycisku [+] po lewej stronie. Jeśli liczba wierszy jest niewystarczająca, można je dodać, klikając prawym przyciskiem myszy drugi wiersz i wybierając „Wstaw wiersz”.</t>
  </si>
  <si>
    <t>ℹ️ As listas podem ser expandidas usando o pequeno botão [+] à esquerda. Se o número de linhas não for suficiente, podem ser adicionadas outras clicando com o botão direito do mouse na segunda linha e selecionando "Inserir linha".</t>
  </si>
  <si>
    <t>ℹ️ Las listas pueden ampliarse usando el pequeño botón [+] a la izquierda. Si el número de filas no es suficiente, se pueden añadir haciendo clic derecho en la segunda fila y seleccionando "Insertar fila".</t>
  </si>
  <si>
    <t>template_label_other_warning</t>
  </si>
  <si>
    <t>ℹ️ When "other" is chosen as undertaking legal form please fill the row below</t>
  </si>
  <si>
    <t>ℹ️ Jei įmonės teisinė forma pasirenkama „kita“, užpildykite žemiau esančią eilutę.</t>
  </si>
  <si>
    <t>ℹ️ Jeżeli wybrano „inne” jako formę prawną jednostki, proszę wypełnić poniższy wiersz.</t>
  </si>
  <si>
    <t>ℹ️ Quando for escolhida a opção 'outro' como forma jurídica da entidade, por favor preencha a linha abaixo.</t>
  </si>
  <si>
    <t>ℹ️ Cuando se elige "otra" como forma jurídica de la empresa, por favor rellene la fila de abajo</t>
  </si>
  <si>
    <t>template_label_NACE_warning</t>
  </si>
  <si>
    <t>ℹ️  Please select a NACE code rather than a category else an ERROR message will appear.</t>
  </si>
  <si>
    <t>ℹ️ Pasirinkite NACE kodą, o ne kategoriją; priešingu atveju bus rodomas KLAIDOS pranešimas.</t>
  </si>
  <si>
    <t>ℹ️ Proszę wybrać kod NACE zamiast kategorii, w przeciwnym razie pojawi się komunikat BŁĄD.</t>
  </si>
  <si>
    <t>ℹ️ Por favor, selecione um código NACE em vez de uma categoria, caso contrário, aparecerá uma mensagem de ERRO.</t>
  </si>
  <si>
    <t>ℹ️ Por favor, seleccione un código NACE en lugar de una categoría, de lo contrario aparecerá un mensaje de ERROR.</t>
  </si>
  <si>
    <t>template_label_geolocalisation_warning</t>
  </si>
  <si>
    <t>ℹ️  Please be careful to separate each street number and house number using the slash symbol "/" and not the comma ","</t>
  </si>
  <si>
    <t>ℹ️ Prašome atidžiai atskirti kiekvieną gatvės numerį ir namo numerį naudojant pasvirąjį brūkšnį "/" o ne kablelį ",".</t>
  </si>
  <si>
    <t>ℹ️ Proszę pamiętać, aby oddzielać każdy numer ulicy i numer domu za pomocą symbolu ukośnika "/" a nie przecinka ",".</t>
  </si>
  <si>
    <t>ℹ️ Por favor, tenha cuidado para separar cada número de rua e número da casa utilizando o símbolo barra \"/\" e não a vírgula \",\".</t>
  </si>
  <si>
    <t>ℹ️ Por favor, tenga cuidado de separar cada número de calle y número de casa usando el símbolo de barra "/" y no la coma ",".</t>
  </si>
  <si>
    <t>template_label_energy_consumption_warning</t>
  </si>
  <si>
    <t xml:space="preserve">ℹ️  Please note that the formula present in this cell may be overwritten in case the undertaking wants to directly provide the value. </t>
  </si>
  <si>
    <t>ℹ️ Atkreipkite dėmesį, kad šiame langelyje esanti formulė gali būti perrašyta, jei įmonė nori reikšmę pateikti tiesiogiai.</t>
  </si>
  <si>
    <t>ℹ️ Proszę zauważyć, że formuła obecna w tej komórce może zostać nadpisana, jeśli jednostka zdecyduje się bezpośrednio wprowadzić wartość.</t>
  </si>
  <si>
    <t>ℹ️ Por favor, note que a fórmula presente nesta célula pode ser sobrescrita caso a empresa queira fornecer diretamente o valor.</t>
  </si>
  <si>
    <t>ℹ️ Tenga en cuenta que la fórmula presente en esta celda puede ser sobrescrita en caso de que la empresa quiera proporcionar directamente el valor.</t>
  </si>
  <si>
    <t>template_label_scope_3_categories_warning</t>
  </si>
  <si>
    <t>ℹ️  Scope 3 categories according to the GHG protocol might help to calculate the total Scope 3 GHG emissions. In case the undertaking wants to, it can directly provide the Total Scope 3 GHG emissions in the respective cell.</t>
  </si>
  <si>
    <t>ℹ️ Trečios apimties kategorijos pagal ŠESD protokolą gali padėti apskaičiuoti bendras trečios apimties ŠESD emisijas. Jei įmonė pageidauja, jis gali tiesiogiai pateikti bendras trečios apimties ŠESD emisijas atitinkamame langelyje.</t>
  </si>
  <si>
    <t>ℹ️ Kategorie zakresu 3 zgodnie z protokołem GHG mogą pomóc w obliczeniu całkowitej emisji gazów cieplarnianych zakresu 3. W przypadku, gdy jednostka zechce, może bezpośrednio podać całkowitą emisję gazów cieplarnianych zakresu 3 w odpowiedniej komórce.</t>
  </si>
  <si>
    <t xml:space="preserve">ℹ️ As categorias do Âmbito 3 segundo o Protocolo GEE podem ajudar a calcular as emissões totais de GEE do Âmbito 3. Caso a empresa deseje, pode fornecer diretamente as Emissões Totais de GEE do Âmbito 3 na célula respetiva.
</t>
  </si>
  <si>
    <t>ℹ️ Las categorías del Alcance 3 según el protocolo de GEI pueden ayudar a calcular las emisiones totales de GEI del Alcance 3. En caso de que la empresa lo desee, puede proporcionar directamente las emisiones totales de GEI del Alcance 3 en la celda correspondiente.</t>
  </si>
  <si>
    <t>template_label_site_ID_value_inconsistency_warning</t>
  </si>
  <si>
    <t>ℹ️  If a validation related to value inconsistency is displayed, please select a site ID that is different from one of those previously selected.</t>
  </si>
  <si>
    <t>ℹ️ Jei rodoma vertės neatitikimo susijusi patikra, pasirinkite kitokį svetainės ID nei anksčiau pasirinkti.</t>
  </si>
  <si>
    <t>ℹ️ Jeśli pojawi się walidacja dotycząca niespójności wartości, proszę wybrać identyfikator lokalizacji (site ID) różny od wcześniej wybranych.</t>
  </si>
  <si>
    <t>ℹ️ Se for apresentada uma validação relacionada com inconsistência de valores, selecione um ID do local diferente de um dos anteriormente selecionados.</t>
  </si>
  <si>
    <t>ℹ️ Si se muestra una validación relacionada con la inconsistencia de valores, seleccione un ID de sitio diferente a uno de los seleccionados previamente.</t>
  </si>
  <si>
    <t>template_label_type_of_waste_warning</t>
  </si>
  <si>
    <t>ℹ️  Please select a Type of waste (Hazardous or Non-Hazardous) rather than a category else an ERROR message will appear.</t>
  </si>
  <si>
    <t>ℹ️ Prašome pasirinkti atliekų rūšį (pavojingas arba nepavojingas), o ne kategoriją, kitaip bus parodytas KLAIDOS pranešimas.</t>
  </si>
  <si>
    <t>ℹ️ Proszę wybrać Rodzaj odpadu (niebezpieczny lub inne niż niebezpieczny), a nie kategorię, w przeciwnym razie pojawi się komunikat BŁĄD.</t>
  </si>
  <si>
    <t>ℹ️ Por favor, selecione um Tipo de resíduo (Perigoso ou Não Perigoso) em vez de uma categoria, caso contrário aparecerá uma mensagem de ERRO.</t>
  </si>
  <si>
    <t>ℹ️ Por favor seleccione un Tipo de residuo (Peligroso o No Peligroso) en lugar de una categoría, de lo contrario aparecerá un mensaje de ERROR.</t>
  </si>
  <si>
    <t>template_label_number_of_employees_warning</t>
  </si>
  <si>
    <t xml:space="preserve">ℹ️  Please make sure that the total number of employees is the same as the one provided in the "General Information" sheet cell E55
</t>
  </si>
  <si>
    <t>ℹ️ Prašome įsitikinti, kad bendras darbuotojų skaičius yra toks pat, kaip nurodyta skiltyje „Bendroji informacija“, langelyje E55</t>
  </si>
  <si>
    <t>ℹ️ Prosimy upewnić się, że łączna liczba pracowników jest taka sama jak podana w arkuszu "Informacje ogólne" w komórce E55.</t>
  </si>
  <si>
    <t>ℹ️ Por favor, certifique-se de que o número total de trabalhadores é igual ao indicado na célula E55 da folha "Informações Gerais"</t>
  </si>
  <si>
    <t>ℹ️ Por favor, asegúrese de que el número total de empleados sea el mismo que el proporcionado en la celda E55 de la hoja "Información General"</t>
  </si>
  <si>
    <t>template_label_health_and_safety_formula_warning</t>
  </si>
  <si>
    <t>ℹ️  The undertaking can modify the value in this cell as 2,000 hours is based on the assumption that one full-time worker works 2,000 hours per year. This figure may vary by country or sector, depending on national rules or collective bargaining agreements.</t>
  </si>
  <si>
    <t>ℹ️ Įmonė gali pakeisti šios langelio vertę, nes 2 000 valandų yra pagrįsta prielaida, kad vienas visą darbo dieną dirbantis darbuotojas per metus dirba 2 000 valandų. Šis skaičius gali skirtis priklausomai nuo šalies ar sektoriaus, atsižvelgiant į nacionalinius teisės aktus arba kolektyvines sutartis.</t>
  </si>
  <si>
    <t>ℹ️ Jednostka może zmodyfikować wartość w tej komórce, ponieważ 2 000 godzin jest oparte na założeniu, że jeden pracownik zatrudniony na pełny etat pracuje 2 000 godzin rocznie. Ta wartość może się różnić w odniesieniu do kraju lub sektora, w zależności od krajowych przepisów lub układów zbiorowych pracy.</t>
  </si>
  <si>
    <t>ℹ️ A empresa pode modificar o valor nesta célula, uma vez que 2.000 horas se baseiam na suposição de que um trabalhador a tempo completo trabalha 2.000 horas por ano. Este valor pode variar consoante o país ou setor, dependendo das regras nacionais ou dos acordos coletivos de trabalho.</t>
  </si>
  <si>
    <t xml:space="preserve">ℹ️ La empresa puede modificar el valor en esta celda, ya que las 2.000 horas se basan en la suposición de que un trabajador a tiempo completo trabaja 2.000 horas al año. Esta cifra puede variar según el país o sector, dependiendo de las normas nacionales o convenios colectivos aplicables. 
</t>
  </si>
  <si>
    <t>template_label_GHG_calculator</t>
  </si>
  <si>
    <t>ℹ️ Check EFRAG website for a non-exhaustive list of GHG calculators.</t>
  </si>
  <si>
    <t>ℹ️ EFRAG svetainėje rasite neišsamų ŠESD skaičiuoklių sąrašą.</t>
  </si>
  <si>
    <t>ℹ️ Na stronie internetowej EFRAG znajduje się niewyczerpująca lista kalkulatorów emisji gazów cieplarnianych.</t>
  </si>
  <si>
    <t>ℹ️ Consulte o sítio Web do EFRAG para obter uma lista não exaustiva de calculadoras de GEE.</t>
  </si>
  <si>
    <t>ℹ️ Consulte el sitio web del EFRAG para obtener una lista no exhaustiva de calculadoras de GEI.</t>
  </si>
  <si>
    <t>Reporting period string:</t>
  </si>
  <si>
    <t>template_reporting_period_display</t>
  </si>
  <si>
    <t>Localization formula</t>
  </si>
  <si>
    <t>Longitude</t>
  </si>
  <si>
    <t>Latitude</t>
  </si>
  <si>
    <t>Longitude,Latitude ('General information!'K106:K130)</t>
  </si>
  <si>
    <t>Starting date string:</t>
  </si>
  <si>
    <t>template_starting_date_display</t>
  </si>
  <si>
    <t xml:space="preserve">Ending date string: </t>
  </si>
  <si>
    <t>template_ending_date_display</t>
  </si>
  <si>
    <t>Exotec has an Environemental Sustainability Policy.</t>
  </si>
  <si>
    <t>West Europe (including France)</t>
  </si>
  <si>
    <t>North America</t>
  </si>
  <si>
    <t>Central Europe</t>
  </si>
  <si>
    <t>Asia-Pacific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</si>
</sst>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000000"/>
  </numFmts>
  <fonts count="32"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i/>
      <sz val="11"/>
      <color theme="1"/>
      <name val="Aptos Narrow"/>
      <family val="2"/>
      <scheme val="minor"/>
    </font>
    <font>
      <i/>
      <sz val="9"/>
      <color theme="1"/>
      <name val="Aptos Narrow"/>
      <family val="2"/>
      <scheme val="minor"/>
    </font>
    <font>
      <u/>
      <sz val="11"/>
      <color theme="10"/>
      <name val="Aptos Narrow"/>
      <family val="2"/>
      <scheme val="minor"/>
    </font>
    <font>
      <b/>
      <sz val="11"/>
      <name val="Aptos Narrow"/>
      <family val="2"/>
      <scheme val="minor"/>
    </font>
    <font>
      <b/>
      <sz val="11"/>
      <name val="Calibri"/>
      <family val="2"/>
    </font>
    <font>
      <sz val="11"/>
      <name val="Aptos Narrow"/>
      <family val="2"/>
      <scheme val="minor"/>
    </font>
    <font>
      <i/>
      <sz val="11"/>
      <name val="Aptos Narrow"/>
      <family val="2"/>
      <scheme val="minor"/>
    </font>
    <font>
      <u/>
      <sz val="11"/>
      <name val="Aptos Narrow"/>
      <family val="2"/>
      <scheme val="minor"/>
    </font>
    <font>
      <i/>
      <u/>
      <sz val="11"/>
      <name val="Aptos Narrow"/>
      <family val="2"/>
      <scheme val="minor"/>
    </font>
    <font>
      <sz val="11"/>
      <color theme="1"/>
      <name val="Aptos Narrow"/>
      <family val="2"/>
    </font>
    <font>
      <b/>
      <sz val="16"/>
      <color theme="1"/>
      <name val="Aptos Narrow"/>
      <family val="2"/>
    </font>
    <font>
      <sz val="48"/>
      <color theme="1"/>
      <name val="Aptos Narrow"/>
      <family val="2"/>
      <scheme val="minor"/>
    </font>
    <font>
      <sz val="10"/>
      <color theme="1"/>
      <name val="Aptos Narrow"/>
      <family val="2"/>
      <scheme val="minor"/>
    </font>
    <font>
      <sz val="11"/>
      <color rgb="FF1B1B1B"/>
      <name val="Aptos Narrow"/>
      <family val="2"/>
      <scheme val="minor"/>
    </font>
    <font>
      <sz val="14"/>
      <color theme="1"/>
      <name val="Aptos Narrow"/>
      <family val="2"/>
      <scheme val="minor"/>
    </font>
    <font>
      <sz val="16"/>
      <color theme="1"/>
      <name val="Aptos Narrow"/>
      <family val="2"/>
      <scheme val="minor"/>
    </font>
    <font>
      <sz val="20"/>
      <color theme="1"/>
      <name val="Aptos Narrow"/>
      <family val="2"/>
      <scheme val="minor"/>
    </font>
    <font>
      <i/>
      <sz val="11"/>
      <color theme="1"/>
      <name val="Aptos Narrow"/>
      <family val="2"/>
    </font>
    <font>
      <b/>
      <i/>
      <sz val="11"/>
      <color theme="1"/>
      <name val="Aptos Narrow"/>
      <family val="2"/>
      <scheme val="minor"/>
    </font>
    <font>
      <i/>
      <sz val="10"/>
      <color theme="1"/>
      <name val="Aptos Narrow"/>
      <family val="2"/>
      <scheme val="minor"/>
    </font>
    <font>
      <b/>
      <sz val="16"/>
      <color theme="1"/>
      <name val="Aptos Narrow"/>
      <family val="2"/>
      <scheme val="minor"/>
    </font>
    <font>
      <u/>
      <sz val="16"/>
      <color theme="1"/>
      <name val="Aptos Narrow"/>
      <family val="2"/>
      <scheme val="minor"/>
    </font>
    <font>
      <sz val="11"/>
      <name val="Calibri"/>
      <family val="2"/>
    </font>
    <font>
      <b/>
      <u/>
      <sz val="11"/>
      <color rgb="FF0070C0"/>
      <name val="Aptos Narrow"/>
      <family val="2"/>
      <scheme val="minor"/>
    </font>
    <font>
      <sz val="11"/>
      <color theme="10"/>
      <name val="Aptos Narrow"/>
      <family val="2"/>
      <scheme val="minor"/>
    </font>
    <font>
      <b/>
      <sz val="14"/>
      <color theme="1"/>
      <name val="Aptos Narrow"/>
      <family val="2"/>
      <scheme val="minor"/>
    </font>
    <font>
      <b/>
      <sz val="24"/>
      <color theme="1"/>
      <name val="Aptos Narrow"/>
      <family val="2"/>
      <scheme val="minor"/>
    </font>
    <font>
      <i/>
      <sz val="11"/>
      <color theme="10"/>
      <name val="Aptos Narrow"/>
      <family val="2"/>
      <scheme val="minor"/>
    </font>
  </fonts>
  <fills count="18">
    <fill>
      <patternFill patternType="none"/>
    </fill>
    <fill>
      <patternFill patternType="gray125"/>
    </fill>
    <fill>
      <patternFill patternType="solid">
        <fgColor theme="0" tint="-0.14996795556505021"/>
        <bgColor indexed="64"/>
      </patternFill>
    </fill>
    <fill>
      <patternFill patternType="solid">
        <fgColor theme="9" tint="0.59999389629810485"/>
        <bgColor indexed="64"/>
      </patternFill>
    </fill>
    <fill>
      <patternFill patternType="solid">
        <fgColor rgb="FFFFC0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4"/>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B5E6A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E97132"/>
        <bgColor indexed="64"/>
      </patternFill>
    </fill>
    <fill>
      <patternFill patternType="solid">
        <fgColor rgb="FFFFFF99"/>
        <bgColor indexed="64"/>
      </patternFill>
    </fill>
    <fill>
      <patternFill patternType="solid">
        <fgColor theme="7" tint="0.39997558519241921"/>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diagonalUp="1" diagonalDown="1">
      <left style="medium">
        <color indexed="64"/>
      </left>
      <right/>
      <top style="medium">
        <color indexed="64"/>
      </top>
      <bottom style="thin">
        <color indexed="64"/>
      </bottom>
      <diagonal style="thin">
        <color indexed="64"/>
      </diagonal>
    </border>
    <border diagonalUp="1" diagonalDown="1">
      <left/>
      <right/>
      <top style="medium">
        <color indexed="64"/>
      </top>
      <bottom style="thin">
        <color indexed="64"/>
      </bottom>
      <diagonal style="thin">
        <color indexed="64"/>
      </diagonal>
    </border>
    <border diagonalUp="1" diagonalDown="1">
      <left/>
      <right style="medium">
        <color indexed="64"/>
      </right>
      <top style="medium">
        <color indexed="64"/>
      </top>
      <bottom style="thin">
        <color indexed="64"/>
      </bottom>
      <diagonal style="thin">
        <color indexed="64"/>
      </diagonal>
    </border>
    <border diagonalUp="1" diagonalDown="1">
      <left style="thin">
        <color indexed="64"/>
      </left>
      <right style="medium">
        <color indexed="64"/>
      </right>
      <top style="thin">
        <color indexed="64"/>
      </top>
      <bottom/>
      <diagonal style="thin">
        <color indexed="64"/>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style="medium">
        <color indexed="64"/>
      </right>
      <top/>
      <bottom/>
      <diagonal/>
    </border>
  </borders>
  <cellStyleXfs count="4">
    <xf numFmtId="0" fontId="0" fillId="0" borderId="0"/>
    <xf numFmtId="9" fontId="1" fillId="0" borderId="0" applyFont="0" applyFill="0" applyBorder="0" applyAlignment="0" applyProtection="0"/>
    <xf numFmtId="2" fontId="1" fillId="2" borderId="1"/>
    <xf numFmtId="0" fontId="6" fillId="0" borderId="0" applyNumberFormat="0" applyFill="0" applyBorder="0" applyAlignment="0" applyProtection="0"/>
  </cellStyleXfs>
  <cellXfs count="969">
    <xf numFmtId="0" fontId="0" fillId="0" borderId="0" xfId="0"/>
    <xf numFmtId="0" fontId="0" fillId="0" borderId="0" xfId="0" applyAlignment="1">
      <alignment wrapText="1"/>
    </xf>
    <xf numFmtId="0" fontId="0" fillId="0" borderId="18" xfId="0" applyBorder="1"/>
    <xf numFmtId="0" fontId="0" fillId="0" borderId="19" xfId="0" applyBorder="1"/>
    <xf numFmtId="0" fontId="2" fillId="0" borderId="1" xfId="0" applyFont="1" applyBorder="1" applyAlignment="1">
      <alignment horizontal="center" vertical="center"/>
    </xf>
    <xf numFmtId="0" fontId="0" fillId="0" borderId="25" xfId="0" applyBorder="1"/>
    <xf numFmtId="0" fontId="0" fillId="0" borderId="0" xfId="0" applyAlignment="1">
      <alignment horizontal="left" vertical="top"/>
    </xf>
    <xf numFmtId="0" fontId="0" fillId="7" borderId="0" xfId="0" applyFill="1"/>
    <xf numFmtId="0" fontId="2" fillId="0" borderId="0" xfId="0" applyFont="1" applyAlignment="1">
      <alignment horizontal="center" vertical="center" wrapText="1"/>
    </xf>
    <xf numFmtId="0" fontId="0" fillId="0" borderId="22" xfId="0" applyBorder="1"/>
    <xf numFmtId="0" fontId="0" fillId="0" borderId="30" xfId="0" applyBorder="1"/>
    <xf numFmtId="0" fontId="0" fillId="0" borderId="29" xfId="0" applyBorder="1"/>
    <xf numFmtId="0" fontId="2" fillId="7"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2" fillId="7" borderId="0" xfId="0" applyFont="1" applyFill="1" applyAlignment="1">
      <alignment horizontal="center"/>
    </xf>
    <xf numFmtId="0" fontId="0" fillId="7" borderId="0" xfId="0" applyFill="1" applyAlignment="1">
      <alignment horizontal="center" vertical="center"/>
    </xf>
    <xf numFmtId="2" fontId="1" fillId="13" borderId="58" xfId="2" applyFill="1" applyBorder="1" applyAlignment="1">
      <alignment horizontal="center" vertical="center"/>
    </xf>
    <xf numFmtId="0" fontId="0" fillId="0" borderId="0" xfId="0" quotePrefix="1"/>
    <xf numFmtId="14" fontId="0" fillId="0" borderId="0" xfId="0" applyNumberFormat="1"/>
    <xf numFmtId="0" fontId="2" fillId="0" borderId="11" xfId="0" applyFont="1" applyBorder="1" applyAlignment="1">
      <alignment horizontal="center" vertical="center" wrapText="1"/>
    </xf>
    <xf numFmtId="0" fontId="0" fillId="0" borderId="39" xfId="0" applyBorder="1"/>
    <xf numFmtId="0" fontId="0" fillId="0" borderId="11" xfId="0" applyBorder="1" applyAlignment="1" applyProtection="1">
      <alignment horizontal="left"/>
      <protection locked="0"/>
    </xf>
    <xf numFmtId="0" fontId="0" fillId="0" borderId="11" xfId="0" applyBorder="1" applyAlignment="1" applyProtection="1">
      <alignment vertical="center"/>
      <protection locked="0"/>
      <extLst>
        <ext xmlns:xfpb="http://schemas.microsoft.com/office/spreadsheetml/2022/featurepropertybag" uri="{C7286773-470A-42A8-94C5-96B5CB345126}">
          <xfpb:xfComplement i="0"/>
        </ext>
      </extLst>
    </xf>
    <xf numFmtId="0" fontId="0" fillId="6" borderId="11" xfId="0" applyFill="1" applyBorder="1" applyAlignment="1" applyProtection="1">
      <alignment horizontal="center" vertical="center" wrapText="1"/>
      <protection locked="0"/>
    </xf>
    <xf numFmtId="0" fontId="0" fillId="6" borderId="51" xfId="0" applyFill="1" applyBorder="1" applyAlignment="1" applyProtection="1">
      <alignment horizontal="center" vertical="center" wrapText="1"/>
      <protection locked="0"/>
    </xf>
    <xf numFmtId="0" fontId="0" fillId="0" borderId="11" xfId="0" applyBorder="1" applyAlignment="1" applyProtection="1">
      <alignment horizontal="right" vertical="center" wrapText="1"/>
      <protection locked="0"/>
    </xf>
    <xf numFmtId="0" fontId="0" fillId="0" borderId="11" xfId="0" applyBorder="1" applyAlignment="1" applyProtection="1">
      <alignment horizontal="right" wrapText="1"/>
      <protection locked="0"/>
    </xf>
    <xf numFmtId="0" fontId="0" fillId="6" borderId="11" xfId="0" applyFill="1" applyBorder="1" applyAlignment="1" applyProtection="1">
      <alignment horizontal="right"/>
      <protection locked="0"/>
    </xf>
    <xf numFmtId="2" fontId="0" fillId="0" borderId="11" xfId="0" applyNumberFormat="1" applyBorder="1" applyAlignment="1" applyProtection="1">
      <alignment horizontal="right" wrapText="1"/>
      <protection locked="0"/>
    </xf>
    <xf numFmtId="2" fontId="0" fillId="0" borderId="11" xfId="0" applyNumberFormat="1" applyBorder="1" applyAlignment="1" applyProtection="1">
      <alignment horizontal="right"/>
      <protection locked="0"/>
    </xf>
    <xf numFmtId="0" fontId="0" fillId="0" borderId="14" xfId="0" applyBorder="1" applyAlignment="1" applyProtection="1">
      <alignment horizontal="right" wrapText="1"/>
      <protection locked="0"/>
    </xf>
    <xf numFmtId="0" fontId="0" fillId="6" borderId="20" xfId="0" applyFill="1" applyBorder="1" applyProtection="1">
      <protection locked="0"/>
    </xf>
    <xf numFmtId="0" fontId="0" fillId="6" borderId="14" xfId="0" applyFill="1" applyBorder="1" applyProtection="1">
      <protection locked="0"/>
    </xf>
    <xf numFmtId="0" fontId="0" fillId="6" borderId="43" xfId="0" applyFill="1" applyBorder="1" applyProtection="1">
      <protection locked="0"/>
    </xf>
    <xf numFmtId="0" fontId="0" fillId="6" borderId="44" xfId="0" applyFill="1" applyBorder="1" applyProtection="1">
      <protection locked="0"/>
    </xf>
    <xf numFmtId="0" fontId="0" fillId="6" borderId="2" xfId="0" applyFill="1" applyBorder="1" applyProtection="1">
      <protection locked="0"/>
    </xf>
    <xf numFmtId="0" fontId="0" fillId="6" borderId="11" xfId="0" applyFill="1" applyBorder="1" applyProtection="1">
      <protection locked="0"/>
    </xf>
    <xf numFmtId="0" fontId="0" fillId="6" borderId="37" xfId="0" applyFill="1" applyBorder="1" applyProtection="1">
      <protection locked="0"/>
    </xf>
    <xf numFmtId="0" fontId="0" fillId="0" borderId="1" xfId="0" applyBorder="1" applyProtection="1">
      <protection locked="0"/>
    </xf>
    <xf numFmtId="49" fontId="0" fillId="0" borderId="1" xfId="0" applyNumberFormat="1" applyBorder="1" applyAlignment="1" applyProtection="1">
      <alignment horizontal="left"/>
      <protection locked="0"/>
    </xf>
    <xf numFmtId="0" fontId="0" fillId="0" borderId="2" xfId="0" applyBorder="1" applyAlignment="1" applyProtection="1">
      <alignment wrapText="1"/>
      <protection locked="0"/>
    </xf>
    <xf numFmtId="0" fontId="0" fillId="0" borderId="6" xfId="0" applyBorder="1" applyProtection="1">
      <protection locked="0"/>
    </xf>
    <xf numFmtId="49" fontId="0" fillId="0" borderId="6" xfId="0" applyNumberFormat="1" applyBorder="1" applyAlignment="1" applyProtection="1">
      <alignment horizontal="left"/>
      <protection locked="0"/>
    </xf>
    <xf numFmtId="0" fontId="0" fillId="0" borderId="43" xfId="0" applyBorder="1" applyAlignment="1" applyProtection="1">
      <alignment wrapText="1"/>
      <protection locked="0"/>
    </xf>
    <xf numFmtId="0" fontId="0" fillId="0" borderId="20" xfId="0" applyBorder="1" applyProtection="1">
      <protection locked="0"/>
    </xf>
    <xf numFmtId="49" fontId="0" fillId="0" borderId="20" xfId="0" applyNumberFormat="1" applyBorder="1" applyAlignment="1" applyProtection="1">
      <alignment horizontal="left"/>
      <protection locked="0"/>
    </xf>
    <xf numFmtId="0" fontId="0" fillId="0" borderId="37" xfId="0" applyBorder="1" applyAlignment="1" applyProtection="1">
      <alignment wrapText="1"/>
      <protection locked="0"/>
    </xf>
    <xf numFmtId="0" fontId="0" fillId="0" borderId="48" xfId="0" applyBorder="1" applyProtection="1">
      <protection locked="0"/>
    </xf>
    <xf numFmtId="49" fontId="0" fillId="0" borderId="48" xfId="0" applyNumberFormat="1" applyBorder="1" applyAlignment="1" applyProtection="1">
      <alignment horizontal="left"/>
      <protection locked="0"/>
    </xf>
    <xf numFmtId="0" fontId="0" fillId="0" borderId="46" xfId="0" applyBorder="1" applyAlignment="1" applyProtection="1">
      <alignment wrapText="1"/>
      <protection locked="0"/>
    </xf>
    <xf numFmtId="0" fontId="0" fillId="0" borderId="1" xfId="0" applyBorder="1" applyAlignment="1">
      <alignment horizontal="center" vertical="center" wrapText="1"/>
    </xf>
    <xf numFmtId="0" fontId="2" fillId="0" borderId="25" xfId="0" applyFont="1" applyBorder="1" applyAlignment="1">
      <alignment horizontal="center" vertical="center" wrapText="1"/>
    </xf>
    <xf numFmtId="0" fontId="2" fillId="7" borderId="25" xfId="0" applyFont="1" applyFill="1" applyBorder="1" applyAlignment="1">
      <alignment horizontal="center" vertical="center"/>
    </xf>
    <xf numFmtId="0" fontId="9" fillId="0" borderId="0" xfId="0" applyFont="1"/>
    <xf numFmtId="0" fontId="0" fillId="0" borderId="0" xfId="0" applyAlignment="1">
      <alignment horizontal="left"/>
    </xf>
    <xf numFmtId="0" fontId="1" fillId="0" borderId="0" xfId="2" applyNumberFormat="1" applyFill="1" applyBorder="1" applyAlignment="1">
      <alignment horizontal="center"/>
    </xf>
    <xf numFmtId="0" fontId="11" fillId="0" borderId="0" xfId="3" applyFont="1" applyProtection="1"/>
    <xf numFmtId="0" fontId="10" fillId="0" borderId="0" xfId="0" applyFont="1"/>
    <xf numFmtId="0" fontId="9" fillId="0" borderId="0" xfId="0" applyFont="1" applyAlignment="1">
      <alignment horizontal="center" vertical="center"/>
    </xf>
    <xf numFmtId="0" fontId="0" fillId="0" borderId="25" xfId="0" applyBorder="1" applyAlignment="1">
      <alignment wrapText="1"/>
    </xf>
    <xf numFmtId="0" fontId="0" fillId="0" borderId="0" xfId="0" applyAlignment="1">
      <alignment horizontal="center" vertical="center" wrapText="1"/>
    </xf>
    <xf numFmtId="164" fontId="0" fillId="7" borderId="0" xfId="0" applyNumberFormat="1" applyFill="1" applyAlignment="1">
      <alignment wrapText="1"/>
    </xf>
    <xf numFmtId="0" fontId="0" fillId="0" borderId="18" xfId="0" applyBorder="1" applyAlignment="1">
      <alignment horizontal="left" vertical="top" wrapText="1"/>
    </xf>
    <xf numFmtId="0" fontId="0" fillId="0" borderId="18" xfId="0" applyBorder="1" applyAlignment="1">
      <alignment horizontal="left" vertical="center" wrapText="1"/>
    </xf>
    <xf numFmtId="0" fontId="0" fillId="0" borderId="10" xfId="0" applyBorder="1" applyAlignment="1">
      <alignment horizontal="left" vertical="center" wrapText="1"/>
    </xf>
    <xf numFmtId="0" fontId="2" fillId="0" borderId="19" xfId="0" applyFont="1" applyBorder="1" applyAlignment="1">
      <alignment horizontal="left" vertical="center" wrapText="1"/>
    </xf>
    <xf numFmtId="0" fontId="4" fillId="16" borderId="18" xfId="0" applyFont="1" applyFill="1" applyBorder="1" applyAlignment="1">
      <alignment horizontal="left" vertical="center" wrapText="1"/>
    </xf>
    <xf numFmtId="2" fontId="2" fillId="0" borderId="6" xfId="0" applyNumberFormat="1" applyFont="1" applyBorder="1" applyAlignment="1">
      <alignment horizontal="center" vertical="center"/>
    </xf>
    <xf numFmtId="2" fontId="2" fillId="0" borderId="44" xfId="0" applyNumberFormat="1" applyFont="1" applyBorder="1" applyAlignment="1">
      <alignment horizontal="center" vertical="center" wrapText="1"/>
    </xf>
    <xf numFmtId="0" fontId="2" fillId="0" borderId="25" xfId="0" applyFont="1" applyBorder="1" applyAlignment="1">
      <alignment horizontal="center" vertical="center"/>
    </xf>
    <xf numFmtId="0" fontId="4" fillId="7" borderId="70" xfId="0" applyFont="1" applyFill="1" applyBorder="1"/>
    <xf numFmtId="0" fontId="4" fillId="7" borderId="75" xfId="0" applyFont="1" applyFill="1" applyBorder="1"/>
    <xf numFmtId="0" fontId="2" fillId="0" borderId="11" xfId="0" applyFont="1" applyBorder="1" applyAlignment="1">
      <alignment horizontal="center" vertical="center"/>
    </xf>
    <xf numFmtId="0" fontId="4" fillId="7" borderId="66" xfId="0" applyFont="1" applyFill="1" applyBorder="1"/>
    <xf numFmtId="9" fontId="1" fillId="13" borderId="11" xfId="1" applyFill="1" applyBorder="1" applyAlignment="1" applyProtection="1">
      <alignment horizontal="right"/>
    </xf>
    <xf numFmtId="0" fontId="4" fillId="7" borderId="78" xfId="0" applyFont="1" applyFill="1" applyBorder="1"/>
    <xf numFmtId="9" fontId="0" fillId="7" borderId="84" xfId="1" applyFont="1" applyFill="1" applyBorder="1" applyAlignment="1" applyProtection="1">
      <alignment horizontal="right"/>
    </xf>
    <xf numFmtId="0" fontId="0" fillId="4" borderId="19" xfId="0" applyFill="1" applyBorder="1"/>
    <xf numFmtId="0" fontId="0" fillId="0" borderId="19" xfId="0" applyBorder="1" applyAlignment="1">
      <alignment wrapText="1"/>
    </xf>
    <xf numFmtId="0" fontId="5" fillId="0" borderId="0" xfId="0" applyFont="1" applyAlignment="1">
      <alignment horizontal="center"/>
    </xf>
    <xf numFmtId="0" fontId="0" fillId="0" borderId="18" xfId="0" applyBorder="1" applyAlignment="1">
      <alignment vertical="top" wrapText="1"/>
    </xf>
    <xf numFmtId="0" fontId="0" fillId="0" borderId="19" xfId="0" applyBorder="1" applyAlignment="1">
      <alignment vertical="top" wrapText="1"/>
    </xf>
    <xf numFmtId="0" fontId="2" fillId="0" borderId="18" xfId="0" applyFont="1" applyBorder="1" applyAlignment="1">
      <alignment horizontal="center" vertical="center"/>
    </xf>
    <xf numFmtId="0" fontId="2" fillId="0" borderId="0" xfId="0" applyFont="1"/>
    <xf numFmtId="0" fontId="0" fillId="0" borderId="34" xfId="0" applyBorder="1"/>
    <xf numFmtId="0" fontId="2" fillId="0" borderId="7" xfId="0" applyFont="1" applyBorder="1" applyAlignment="1">
      <alignment horizontal="center" vertical="center" wrapText="1"/>
    </xf>
    <xf numFmtId="0" fontId="0" fillId="0" borderId="12" xfId="0" applyBorder="1"/>
    <xf numFmtId="0" fontId="0" fillId="0" borderId="0" xfId="0" applyAlignment="1">
      <alignment vertical="center"/>
    </xf>
    <xf numFmtId="0" fontId="2" fillId="0" borderId="18" xfId="0" applyFont="1" applyBorder="1" applyAlignment="1">
      <alignment vertical="center" wrapText="1"/>
    </xf>
    <xf numFmtId="0" fontId="0" fillId="0" borderId="10" xfId="0" applyBorder="1" applyAlignment="1">
      <alignment wrapText="1"/>
    </xf>
    <xf numFmtId="0" fontId="0" fillId="0" borderId="0" xfId="0" applyAlignment="1">
      <alignment horizontal="center" vertical="center"/>
    </xf>
    <xf numFmtId="0" fontId="0" fillId="0" borderId="18" xfId="0" applyBorder="1" applyAlignment="1">
      <alignment wrapText="1"/>
    </xf>
    <xf numFmtId="0" fontId="12" fillId="7" borderId="0" xfId="3" applyFont="1" applyFill="1" applyBorder="1" applyAlignment="1" applyProtection="1">
      <alignment horizontal="center" vertical="center"/>
    </xf>
    <xf numFmtId="0" fontId="12" fillId="7" borderId="0" xfId="3" applyFont="1" applyFill="1" applyBorder="1" applyAlignment="1" applyProtection="1">
      <alignment horizontal="center" vertical="center" wrapText="1"/>
    </xf>
    <xf numFmtId="0" fontId="0" fillId="0" borderId="12" xfId="0" applyBorder="1" applyAlignment="1">
      <alignment horizontal="left" vertical="center" wrapText="1"/>
    </xf>
    <xf numFmtId="2" fontId="2" fillId="0" borderId="0" xfId="0" applyNumberFormat="1" applyFont="1" applyAlignment="1">
      <alignment horizontal="center" vertical="center"/>
    </xf>
    <xf numFmtId="0" fontId="0" fillId="16" borderId="18" xfId="0" applyFill="1" applyBorder="1" applyAlignment="1">
      <alignment horizontal="left" vertical="center" wrapText="1"/>
    </xf>
    <xf numFmtId="0" fontId="0" fillId="0" borderId="45" xfId="0" applyBorder="1" applyAlignment="1">
      <alignment horizontal="left" vertical="center" wrapText="1"/>
    </xf>
    <xf numFmtId="2" fontId="0" fillId="7" borderId="0" xfId="0" applyNumberFormat="1" applyFill="1" applyAlignment="1">
      <alignment horizontal="center" vertical="center" wrapText="1"/>
    </xf>
    <xf numFmtId="0" fontId="12" fillId="0" borderId="0" xfId="3" applyFont="1" applyFill="1" applyBorder="1" applyAlignment="1" applyProtection="1">
      <alignment horizontal="center" vertical="center"/>
    </xf>
    <xf numFmtId="0" fontId="12" fillId="0" borderId="0" xfId="3" applyFont="1" applyFill="1" applyBorder="1" applyAlignment="1" applyProtection="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26" xfId="0" applyFont="1" applyBorder="1" applyAlignment="1">
      <alignment horizontal="center" vertical="center" wrapText="1"/>
    </xf>
    <xf numFmtId="0" fontId="0" fillId="0" borderId="10" xfId="0" applyBorder="1"/>
    <xf numFmtId="2" fontId="0" fillId="13" borderId="14" xfId="0" applyNumberFormat="1" applyFill="1" applyBorder="1" applyAlignment="1">
      <alignment horizontal="center"/>
    </xf>
    <xf numFmtId="0" fontId="2" fillId="0" borderId="18" xfId="0" applyFont="1" applyBorder="1" applyAlignment="1">
      <alignment horizontal="center" vertical="center" wrapText="1"/>
    </xf>
    <xf numFmtId="0" fontId="0" fillId="13" borderId="11" xfId="0" applyFill="1" applyBorder="1" applyAlignment="1">
      <alignment horizontal="center"/>
    </xf>
    <xf numFmtId="0" fontId="0" fillId="6" borderId="1" xfId="0" applyFill="1" applyBorder="1" applyAlignment="1" applyProtection="1">
      <alignment horizontal="center" vertical="center"/>
      <protection locked="0"/>
    </xf>
    <xf numFmtId="0" fontId="0" fillId="6" borderId="11" xfId="0" applyFill="1" applyBorder="1" applyAlignment="1" applyProtection="1">
      <alignment horizontal="center"/>
      <protection locked="0"/>
    </xf>
    <xf numFmtId="0" fontId="0" fillId="16" borderId="4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7" fillId="0" borderId="10" xfId="0" applyFont="1" applyBorder="1" applyAlignment="1">
      <alignment horizontal="center" vertical="center" wrapText="1"/>
    </xf>
    <xf numFmtId="0" fontId="0" fillId="7" borderId="0" xfId="0" quotePrefix="1" applyFill="1"/>
    <xf numFmtId="0" fontId="0" fillId="0" borderId="10" xfId="0" applyBorder="1" applyAlignment="1">
      <alignment horizontal="center" vertical="center" wrapText="1"/>
    </xf>
    <xf numFmtId="0" fontId="2" fillId="0" borderId="12" xfId="0" applyFont="1" applyBorder="1" applyAlignment="1">
      <alignment horizontal="center" vertical="center" wrapText="1"/>
    </xf>
    <xf numFmtId="0" fontId="7" fillId="0" borderId="30" xfId="0" applyFont="1" applyBorder="1" applyAlignment="1">
      <alignment horizontal="center" vertical="center" wrapText="1"/>
    </xf>
    <xf numFmtId="0" fontId="0" fillId="0" borderId="18" xfId="0" applyBorder="1" applyAlignment="1">
      <alignment horizontal="center" vertical="center" wrapText="1"/>
    </xf>
    <xf numFmtId="0" fontId="10" fillId="0" borderId="18" xfId="3" applyFont="1" applyFill="1" applyBorder="1" applyAlignment="1" applyProtection="1">
      <alignment horizontal="left" vertical="center" wrapText="1"/>
    </xf>
    <xf numFmtId="0" fontId="10" fillId="16" borderId="18" xfId="0" applyFont="1" applyFill="1" applyBorder="1" applyAlignment="1">
      <alignment horizontal="left" vertical="center" wrapText="1"/>
    </xf>
    <xf numFmtId="0" fontId="2" fillId="7" borderId="19" xfId="0" applyFont="1" applyFill="1" applyBorder="1" applyAlignment="1">
      <alignment wrapText="1"/>
    </xf>
    <xf numFmtId="0" fontId="4" fillId="0" borderId="7" xfId="0" applyFont="1" applyBorder="1" applyAlignment="1">
      <alignment horizontal="left" wrapText="1"/>
    </xf>
    <xf numFmtId="0" fontId="4" fillId="0" borderId="30" xfId="0" applyFont="1" applyBorder="1" applyAlignment="1">
      <alignment horizontal="left" wrapText="1"/>
    </xf>
    <xf numFmtId="0" fontId="0" fillId="7" borderId="30" xfId="0" applyFill="1" applyBorder="1" applyAlignment="1">
      <alignment wrapText="1"/>
    </xf>
    <xf numFmtId="0" fontId="0" fillId="7" borderId="19" xfId="0" applyFill="1" applyBorder="1" applyAlignment="1">
      <alignment wrapText="1"/>
    </xf>
    <xf numFmtId="0" fontId="17" fillId="0" borderId="25" xfId="0" applyFont="1" applyBorder="1" applyAlignment="1">
      <alignment vertical="center" wrapText="1"/>
    </xf>
    <xf numFmtId="0" fontId="0" fillId="0" borderId="30" xfId="0" applyBorder="1" applyAlignment="1">
      <alignment horizontal="left" indent="1"/>
    </xf>
    <xf numFmtId="0" fontId="0" fillId="0" borderId="25" xfId="0" applyBorder="1" applyAlignment="1">
      <alignment horizontal="left" indent="1"/>
    </xf>
    <xf numFmtId="0" fontId="0" fillId="0" borderId="18" xfId="0" applyBorder="1" applyAlignment="1">
      <alignment horizontal="left" indent="1"/>
    </xf>
    <xf numFmtId="0" fontId="0" fillId="0" borderId="12" xfId="0" applyBorder="1" applyAlignment="1">
      <alignment wrapText="1"/>
    </xf>
    <xf numFmtId="0" fontId="17" fillId="0" borderId="18" xfId="0" applyFont="1" applyBorder="1" applyAlignment="1">
      <alignment vertical="center" wrapText="1"/>
    </xf>
    <xf numFmtId="0" fontId="4" fillId="16" borderId="11"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1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56"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2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1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6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6"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1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1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19"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21" xfId="0" applyFill="1" applyBorder="1" applyAlignment="1" applyProtection="1">
      <alignment horizontal="center" wrapText="1"/>
      <protection locked="0"/>
    </xf>
    <xf numFmtId="0" fontId="0" fillId="13" borderId="36" xfId="0" applyFill="1" applyBorder="1" applyAlignment="1" applyProtection="1">
      <alignment horizontal="center" wrapText="1"/>
      <protection locked="0"/>
    </xf>
    <xf numFmtId="0" fontId="0" fillId="13" borderId="56" xfId="0" applyFill="1" applyBorder="1" applyAlignment="1" applyProtection="1">
      <alignment horizontal="center" wrapText="1"/>
      <protection locked="0"/>
    </xf>
    <xf numFmtId="0" fontId="4" fillId="16" borderId="38" xfId="0" applyFont="1" applyFill="1" applyBorder="1" applyAlignment="1">
      <alignment wrapText="1"/>
    </xf>
    <xf numFmtId="0" fontId="0" fillId="7" borderId="39" xfId="0" applyFill="1" applyBorder="1" applyAlignment="1">
      <alignment wrapText="1"/>
    </xf>
    <xf numFmtId="0" fontId="9" fillId="0" borderId="32" xfId="0" applyFont="1" applyBorder="1" applyAlignment="1">
      <alignment horizontal="left" vertical="center" wrapText="1"/>
    </xf>
    <xf numFmtId="0" fontId="7" fillId="0" borderId="19" xfId="0" applyFont="1" applyBorder="1" applyAlignment="1">
      <alignment horizontal="left" vertical="top" wrapText="1"/>
    </xf>
    <xf numFmtId="0" fontId="27" fillId="0" borderId="0" xfId="0" applyFont="1"/>
    <xf numFmtId="0" fontId="0" fillId="0" borderId="51" xfId="0" applyBorder="1" applyAlignment="1">
      <alignment horizontal="center" vertical="center" wrapText="1"/>
    </xf>
    <xf numFmtId="0" fontId="6" fillId="6" borderId="14" xfId="3" applyFill="1" applyBorder="1" applyAlignment="1" applyProtection="1">
      <alignment vertical="top"/>
      <protection locked="0"/>
    </xf>
    <xf numFmtId="9" fontId="0" fillId="13" borderId="14" xfId="1" applyFont="1" applyFill="1" applyBorder="1" applyAlignment="1" applyProtection="1">
      <alignment horizontal="right"/>
    </xf>
    <xf numFmtId="9" fontId="0" fillId="13" borderId="44" xfId="1" applyFont="1" applyFill="1" applyBorder="1" applyAlignment="1" applyProtection="1">
      <alignment horizontal="right"/>
    </xf>
    <xf numFmtId="0" fontId="0" fillId="0" borderId="18" xfId="0" applyBorder="1" applyProtection="1">
      <protection locked="0"/>
    </xf>
    <xf numFmtId="0" fontId="0" fillId="0" borderId="30" xfId="0" applyBorder="1" applyProtection="1">
      <protection locked="0"/>
    </xf>
    <xf numFmtId="0" fontId="0" fillId="0" borderId="19" xfId="0" applyBorder="1" applyProtection="1">
      <protection locked="0"/>
    </xf>
    <xf numFmtId="0" fontId="0" fillId="0" borderId="32" xfId="0" applyBorder="1" applyProtection="1">
      <protection locked="0"/>
    </xf>
    <xf numFmtId="0" fontId="2" fillId="0" borderId="86" xfId="0" applyFont="1" applyBorder="1" applyAlignment="1">
      <alignment horizontal="center" vertical="center" wrapText="1"/>
    </xf>
    <xf numFmtId="0" fontId="2" fillId="0" borderId="42" xfId="0" applyFont="1" applyBorder="1" applyAlignment="1">
      <alignment horizontal="center" vertical="center" wrapText="1"/>
    </xf>
    <xf numFmtId="0" fontId="0" fillId="6" borderId="9" xfId="0" applyFill="1" applyBorder="1" applyProtection="1">
      <protection locked="0"/>
      <extLst>
        <ext xmlns:xfpb="http://schemas.microsoft.com/office/spreadsheetml/2022/featurepropertybag" uri="{C7286773-470A-42A8-94C5-96B5CB345126}">
          <xfpb:xfComplement i="0"/>
        </ext>
      </extLst>
    </xf>
    <xf numFmtId="0" fontId="0" fillId="6" borderId="11" xfId="0" applyFill="1" applyBorder="1" applyProtection="1">
      <protection locked="0"/>
      <extLst>
        <ext xmlns:xfpb="http://schemas.microsoft.com/office/spreadsheetml/2022/featurepropertybag" uri="{C7286773-470A-42A8-94C5-96B5CB345126}">
          <xfpb:xfComplement i="0"/>
        </ext>
      </extLst>
    </xf>
    <xf numFmtId="0" fontId="0" fillId="6" borderId="14" xfId="0" applyFill="1" applyBorder="1" applyProtection="1">
      <protection locked="0"/>
      <extLst>
        <ext xmlns:xfpb="http://schemas.microsoft.com/office/spreadsheetml/2022/featurepropertybag" uri="{C7286773-470A-42A8-94C5-96B5CB345126}">
          <xfpb:xfComplement i="0"/>
        </ext>
      </extLst>
    </xf>
    <xf numFmtId="0" fontId="0" fillId="6" borderId="1" xfId="0" applyFill="1" applyBorder="1" applyProtection="1">
      <protection locked="0"/>
      <extLst>
        <ext xmlns:xfpb="http://schemas.microsoft.com/office/spreadsheetml/2022/featurepropertybag" uri="{C7286773-470A-42A8-94C5-96B5CB345126}">
          <xfpb:xfComplement i="0"/>
        </ext>
      </extLst>
    </xf>
    <xf numFmtId="0" fontId="0" fillId="6" borderId="48" xfId="0" applyFill="1" applyBorder="1" applyProtection="1">
      <protection locked="0"/>
      <extLst>
        <ext xmlns:xfpb="http://schemas.microsoft.com/office/spreadsheetml/2022/featurepropertybag" uri="{C7286773-470A-42A8-94C5-96B5CB345126}">
          <xfpb:xfComplement i="0"/>
        </ext>
      </extLst>
    </xf>
    <xf numFmtId="0" fontId="0" fillId="6" borderId="24" xfId="0" applyFill="1" applyBorder="1" applyProtection="1">
      <protection locked="0"/>
      <extLst>
        <ext xmlns:xfpb="http://schemas.microsoft.com/office/spreadsheetml/2022/featurepropertybag" uri="{C7286773-470A-42A8-94C5-96B5CB345126}">
          <xfpb:xfComplement i="0"/>
        </ext>
      </extLst>
    </xf>
    <xf numFmtId="0" fontId="0" fillId="6" borderId="4" xfId="0" applyFill="1" applyBorder="1" applyProtection="1">
      <protection locked="0"/>
      <extLst>
        <ext xmlns:xfpb="http://schemas.microsoft.com/office/spreadsheetml/2022/featurepropertybag" uri="{C7286773-470A-42A8-94C5-96B5CB345126}">
          <xfpb:xfComplement i="0"/>
        </ext>
      </extLst>
    </xf>
    <xf numFmtId="0" fontId="0" fillId="6" borderId="13" xfId="0" applyFill="1" applyBorder="1" applyProtection="1">
      <protection locked="0"/>
      <extLst>
        <ext xmlns:xfpb="http://schemas.microsoft.com/office/spreadsheetml/2022/featurepropertybag" uri="{C7286773-470A-42A8-94C5-96B5CB345126}">
          <xfpb:xfComplement i="0"/>
        </ext>
      </extLst>
    </xf>
    <xf numFmtId="0" fontId="0" fillId="0" borderId="15" xfId="0" applyBorder="1"/>
    <xf numFmtId="0" fontId="2" fillId="0" borderId="0" xfId="0" applyFont="1" applyAlignment="1">
      <alignment wrapText="1"/>
    </xf>
    <xf numFmtId="0" fontId="9" fillId="0" borderId="0" xfId="0" applyFont="1" applyAlignment="1">
      <alignment wrapText="1"/>
    </xf>
    <xf numFmtId="0" fontId="0" fillId="0" borderId="13" xfId="0" applyBorder="1" applyAlignment="1">
      <alignment horizontal="left" vertical="top" wrapText="1"/>
    </xf>
    <xf numFmtId="0" fontId="10" fillId="0" borderId="2" xfId="0" applyFont="1" applyBorder="1" applyAlignment="1">
      <alignment horizontal="center" vertical="center" wrapText="1"/>
    </xf>
    <xf numFmtId="0" fontId="10" fillId="0" borderId="1" xfId="3" applyFont="1" applyFill="1" applyBorder="1" applyAlignment="1">
      <alignment horizontal="center" vertical="center" wrapText="1"/>
    </xf>
    <xf numFmtId="0" fontId="0" fillId="0" borderId="26" xfId="0" applyBorder="1"/>
    <xf numFmtId="0" fontId="10" fillId="0" borderId="39" xfId="0" applyFont="1" applyBorder="1" applyAlignment="1">
      <alignment horizontal="center" vertical="center" wrapText="1"/>
    </xf>
    <xf numFmtId="0" fontId="10" fillId="0" borderId="48" xfId="0" applyFont="1" applyBorder="1" applyAlignment="1">
      <alignment horizontal="center" vertical="center" wrapText="1"/>
    </xf>
    <xf numFmtId="0" fontId="0" fillId="7" borderId="67" xfId="0" applyFill="1" applyBorder="1"/>
    <xf numFmtId="0" fontId="0" fillId="7" borderId="87" xfId="0" applyFill="1" applyBorder="1"/>
    <xf numFmtId="0" fontId="0" fillId="7" borderId="73" xfId="0" applyFill="1" applyBorder="1"/>
    <xf numFmtId="0" fontId="4" fillId="0" borderId="1" xfId="0" applyFont="1" applyBorder="1" applyAlignment="1">
      <alignment horizontal="center" vertical="center" wrapText="1"/>
    </xf>
    <xf numFmtId="0" fontId="4" fillId="7" borderId="1" xfId="0" applyFont="1" applyFill="1" applyBorder="1" applyAlignment="1">
      <alignment horizontal="center" vertical="center" wrapText="1"/>
    </xf>
    <xf numFmtId="0" fontId="9" fillId="0" borderId="7" xfId="0" applyFont="1" applyBorder="1" applyAlignment="1">
      <alignment horizontal="left" vertical="center" wrapText="1"/>
    </xf>
    <xf numFmtId="2" fontId="0" fillId="6" borderId="1" xfId="0" applyNumberFormat="1" applyFill="1" applyBorder="1" applyAlignment="1" applyProtection="1">
      <alignment horizontal="right" vertical="center"/>
      <protection locked="0"/>
    </xf>
    <xf numFmtId="2" fontId="0" fillId="13" borderId="20" xfId="0" applyNumberFormat="1" applyFill="1" applyBorder="1" applyAlignment="1" applyProtection="1">
      <alignment horizontal="right" vertical="center"/>
      <protection locked="0"/>
    </xf>
    <xf numFmtId="2" fontId="0" fillId="13" borderId="6" xfId="2" applyFont="1" applyFill="1" applyBorder="1" applyAlignment="1">
      <alignment horizontal="right" vertical="center"/>
    </xf>
    <xf numFmtId="2" fontId="0" fillId="13" borderId="43" xfId="2" applyFont="1" applyFill="1" applyBorder="1" applyAlignment="1">
      <alignment horizontal="right" vertical="center"/>
    </xf>
    <xf numFmtId="2" fontId="0" fillId="13" borderId="20" xfId="2" applyFont="1" applyFill="1" applyBorder="1" applyAlignment="1">
      <alignment horizontal="right" vertical="center"/>
    </xf>
    <xf numFmtId="2" fontId="0" fillId="6" borderId="1" xfId="0" applyNumberFormat="1" applyFill="1" applyBorder="1" applyAlignment="1" applyProtection="1">
      <alignment horizontal="right"/>
      <protection locked="0"/>
    </xf>
    <xf numFmtId="2" fontId="0" fillId="13" borderId="20" xfId="0" applyNumberFormat="1" applyFill="1" applyBorder="1" applyAlignment="1">
      <alignment horizontal="right" vertical="center"/>
    </xf>
    <xf numFmtId="2" fontId="0" fillId="6" borderId="11" xfId="0" applyNumberFormat="1" applyFill="1" applyBorder="1" applyAlignment="1" applyProtection="1">
      <alignment horizontal="right"/>
      <protection locked="0"/>
    </xf>
    <xf numFmtId="2" fontId="0" fillId="6" borderId="20" xfId="0" applyNumberFormat="1" applyFill="1" applyBorder="1" applyAlignment="1" applyProtection="1">
      <alignment horizontal="right"/>
      <protection locked="0"/>
    </xf>
    <xf numFmtId="2" fontId="0" fillId="6" borderId="14" xfId="0" applyNumberFormat="1" applyFill="1" applyBorder="1" applyAlignment="1" applyProtection="1">
      <alignment horizontal="right"/>
      <protection locked="0"/>
    </xf>
    <xf numFmtId="2" fontId="0" fillId="6" borderId="6" xfId="0" applyNumberFormat="1" applyFill="1" applyBorder="1" applyAlignment="1" applyProtection="1">
      <alignment horizontal="right"/>
      <protection locked="0"/>
    </xf>
    <xf numFmtId="2" fontId="0" fillId="6" borderId="44" xfId="0" applyNumberFormat="1" applyFill="1" applyBorder="1" applyAlignment="1" applyProtection="1">
      <alignment horizontal="right"/>
      <protection locked="0"/>
    </xf>
    <xf numFmtId="2" fontId="0" fillId="6" borderId="51" xfId="0" applyNumberFormat="1" applyFill="1" applyBorder="1" applyAlignment="1" applyProtection="1">
      <alignment horizontal="right"/>
      <protection locked="0"/>
    </xf>
    <xf numFmtId="2" fontId="0" fillId="0" borderId="11" xfId="0" applyNumberFormat="1" applyBorder="1" applyAlignment="1" applyProtection="1">
      <alignment horizontal="right" vertical="center"/>
      <protection locked="0"/>
    </xf>
    <xf numFmtId="2" fontId="0" fillId="0" borderId="14" xfId="0" applyNumberFormat="1" applyBorder="1" applyAlignment="1" applyProtection="1">
      <alignment horizontal="right" vertical="center" wrapText="1"/>
      <protection locked="0"/>
    </xf>
    <xf numFmtId="2" fontId="0" fillId="0" borderId="1" xfId="0" applyNumberFormat="1" applyBorder="1" applyAlignment="1" applyProtection="1">
      <alignment horizontal="right" vertical="center" wrapText="1"/>
      <protection locked="0"/>
    </xf>
    <xf numFmtId="2" fontId="0" fillId="0" borderId="5" xfId="0" applyNumberFormat="1" applyBorder="1" applyAlignment="1" applyProtection="1">
      <alignment horizontal="right" vertical="center" wrapText="1"/>
      <protection locked="0"/>
    </xf>
    <xf numFmtId="2" fontId="0" fillId="13" borderId="51" xfId="0" applyNumberFormat="1" applyFill="1" applyBorder="1" applyAlignment="1">
      <alignment horizontal="right" vertical="center"/>
    </xf>
    <xf numFmtId="2" fontId="0" fillId="0" borderId="1" xfId="0" applyNumberFormat="1" applyBorder="1" applyAlignment="1" applyProtection="1">
      <alignment horizontal="right" vertical="center"/>
      <protection locked="0"/>
    </xf>
    <xf numFmtId="2" fontId="0" fillId="13" borderId="11" xfId="0" applyNumberFormat="1" applyFill="1" applyBorder="1" applyAlignment="1">
      <alignment horizontal="right" vertical="center"/>
    </xf>
    <xf numFmtId="2" fontId="0" fillId="0" borderId="20" xfId="0" applyNumberFormat="1" applyBorder="1" applyAlignment="1" applyProtection="1">
      <alignment horizontal="right"/>
      <protection locked="0"/>
    </xf>
    <xf numFmtId="2" fontId="0" fillId="13" borderId="14" xfId="0" applyNumberFormat="1" applyFill="1" applyBorder="1" applyAlignment="1">
      <alignment horizontal="right" vertical="center"/>
    </xf>
    <xf numFmtId="2" fontId="0" fillId="0" borderId="6" xfId="0" applyNumberFormat="1" applyBorder="1" applyAlignment="1" applyProtection="1">
      <alignment horizontal="right" vertical="center"/>
      <protection locked="0"/>
    </xf>
    <xf numFmtId="2" fontId="0" fillId="13" borderId="44" xfId="0" applyNumberFormat="1" applyFill="1" applyBorder="1" applyAlignment="1">
      <alignment horizontal="right" vertical="center"/>
    </xf>
    <xf numFmtId="2" fontId="0" fillId="0" borderId="20" xfId="0" applyNumberFormat="1" applyBorder="1" applyAlignment="1" applyProtection="1">
      <alignment horizontal="right" vertical="center"/>
      <protection locked="0"/>
    </xf>
    <xf numFmtId="2" fontId="0" fillId="6" borderId="11" xfId="0" applyNumberFormat="1" applyFill="1" applyBorder="1" applyAlignment="1" applyProtection="1">
      <alignment horizontal="right" vertical="center"/>
      <protection locked="0"/>
    </xf>
    <xf numFmtId="2" fontId="0" fillId="6" borderId="51" xfId="0" applyNumberFormat="1" applyFill="1" applyBorder="1" applyAlignment="1" applyProtection="1">
      <alignment horizontal="right" vertical="center"/>
      <protection locked="0"/>
    </xf>
    <xf numFmtId="2" fontId="0" fillId="6" borderId="9" xfId="0" applyNumberFormat="1" applyFill="1" applyBorder="1" applyAlignment="1" applyProtection="1">
      <alignment horizontal="right" vertical="center"/>
      <protection locked="0"/>
    </xf>
    <xf numFmtId="2" fontId="0" fillId="6" borderId="58" xfId="0" applyNumberFormat="1" applyFill="1" applyBorder="1" applyAlignment="1" applyProtection="1">
      <alignment horizontal="right" vertical="center"/>
      <protection locked="0"/>
    </xf>
    <xf numFmtId="2" fontId="0" fillId="6" borderId="44" xfId="0" applyNumberFormat="1" applyFill="1" applyBorder="1" applyAlignment="1" applyProtection="1">
      <alignment horizontal="right" vertical="center"/>
      <protection locked="0"/>
    </xf>
    <xf numFmtId="2" fontId="0" fillId="6" borderId="14" xfId="0" applyNumberFormat="1" applyFill="1" applyBorder="1" applyAlignment="1" applyProtection="1">
      <alignment horizontal="right" vertical="center"/>
      <protection locked="0"/>
    </xf>
    <xf numFmtId="2" fontId="0" fillId="13" borderId="58" xfId="0" applyNumberFormat="1" applyFill="1" applyBorder="1" applyAlignment="1">
      <alignment horizontal="right" vertical="center" wrapText="1"/>
    </xf>
    <xf numFmtId="9" fontId="0" fillId="16" borderId="11" xfId="1" applyFont="1" applyFill="1" applyBorder="1" applyAlignment="1" applyProtection="1">
      <alignment horizontal="right"/>
    </xf>
    <xf numFmtId="0" fontId="2" fillId="0" borderId="1" xfId="0" applyFont="1" applyBorder="1" applyAlignment="1">
      <alignment horizontal="center" vertical="center" wrapText="1"/>
    </xf>
    <xf numFmtId="0" fontId="9" fillId="6" borderId="11" xfId="3" applyFont="1" applyFill="1" applyBorder="1" applyAlignment="1" applyProtection="1">
      <alignment horizontal="left" vertical="top" wrapText="1"/>
      <protection locked="0"/>
    </xf>
    <xf numFmtId="2" fontId="9" fillId="6" borderId="11" xfId="3" applyNumberFormat="1" applyFont="1" applyFill="1" applyBorder="1" applyAlignment="1" applyProtection="1">
      <alignment horizontal="right" vertical="top"/>
      <protection locked="0"/>
    </xf>
    <xf numFmtId="0" fontId="1" fillId="6" borderId="14" xfId="0" applyFont="1" applyFill="1" applyBorder="1" applyAlignment="1" applyProtection="1">
      <alignment horizontal="left" vertical="top"/>
      <protection locked="0"/>
    </xf>
    <xf numFmtId="2" fontId="0" fillId="13" borderId="11" xfId="2" applyFont="1" applyFill="1" applyBorder="1" applyAlignment="1">
      <alignment horizontal="right"/>
    </xf>
    <xf numFmtId="2" fontId="0" fillId="13" borderId="14" xfId="2" applyFont="1" applyFill="1" applyBorder="1" applyAlignment="1">
      <alignment horizontal="right"/>
    </xf>
    <xf numFmtId="0" fontId="0" fillId="13" borderId="0" xfId="0" applyFill="1" applyAlignment="1">
      <alignment wrapText="1"/>
    </xf>
    <xf numFmtId="0" fontId="0" fillId="5" borderId="0" xfId="0" applyFill="1" applyAlignment="1">
      <alignment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 fillId="0" borderId="50" xfId="0" applyFont="1" applyBorder="1" applyAlignment="1">
      <alignment horizontal="center" vertical="center" wrapText="1"/>
    </xf>
    <xf numFmtId="0" fontId="2" fillId="0" borderId="50" xfId="0" applyFont="1" applyBorder="1" applyAlignment="1">
      <alignment horizontal="left" vertical="center"/>
    </xf>
    <xf numFmtId="0" fontId="2" fillId="0" borderId="55" xfId="0" applyFont="1" applyBorder="1" applyAlignment="1">
      <alignment horizontal="center" vertical="center" wrapText="1"/>
    </xf>
    <xf numFmtId="0" fontId="0" fillId="0" borderId="0" xfId="0" applyAlignment="1">
      <alignment indent="1"/>
    </xf>
    <xf numFmtId="0" fontId="0" fillId="0" borderId="0" xfId="0" applyAlignment="1">
      <alignment indent="3"/>
    </xf>
    <xf numFmtId="0" fontId="0" fillId="0" borderId="0" xfId="0" applyAlignment="1">
      <alignment indent="2"/>
    </xf>
    <xf numFmtId="2" fontId="0" fillId="0" borderId="0" xfId="0" applyNumberFormat="1"/>
    <xf numFmtId="0" fontId="0" fillId="0" borderId="0" xfId="0" applyAlignment="1">
      <alignment indent="4"/>
    </xf>
    <xf numFmtId="0" fontId="0" fillId="0" borderId="0" xfId="0" applyAlignment="1">
      <alignment indent="5"/>
    </xf>
    <xf numFmtId="0" fontId="16" fillId="0" borderId="0" xfId="0" applyFont="1"/>
    <xf numFmtId="14" fontId="16" fillId="0" borderId="0" xfId="0" applyNumberFormat="1" applyFont="1" applyAlignment="1">
      <alignment horizontal="left"/>
    </xf>
    <xf numFmtId="0" fontId="0" fillId="11" borderId="0" xfId="0" applyFill="1"/>
    <xf numFmtId="0" fontId="6" fillId="0" borderId="0" xfId="3" applyProtection="1"/>
    <xf numFmtId="0" fontId="15" fillId="11" borderId="0" xfId="0" applyFont="1" applyFill="1"/>
    <xf numFmtId="0" fontId="15" fillId="0" borderId="0" xfId="0" applyFont="1"/>
    <xf numFmtId="0" fontId="20" fillId="11" borderId="0" xfId="0" applyFont="1" applyFill="1" applyAlignment="1">
      <alignment vertical="center" wrapText="1"/>
    </xf>
    <xf numFmtId="0" fontId="19" fillId="11" borderId="0" xfId="0" applyFont="1" applyFill="1" applyAlignment="1">
      <alignment horizontal="left" vertical="center" wrapText="1"/>
    </xf>
    <xf numFmtId="0" fontId="24" fillId="11" borderId="46" xfId="0" applyFont="1" applyFill="1" applyBorder="1"/>
    <xf numFmtId="0" fontId="18" fillId="0" borderId="5" xfId="0" applyFont="1" applyBorder="1"/>
    <xf numFmtId="0" fontId="18" fillId="0" borderId="53" xfId="0" applyFont="1" applyBorder="1"/>
    <xf numFmtId="0" fontId="18" fillId="0" borderId="0" xfId="0" applyFont="1"/>
    <xf numFmtId="0" fontId="18" fillId="11" borderId="0" xfId="0" applyFont="1" applyFill="1" applyAlignment="1">
      <alignment vertical="center" wrapText="1"/>
    </xf>
    <xf numFmtId="0" fontId="18" fillId="11" borderId="0" xfId="0" applyFont="1" applyFill="1" applyAlignment="1">
      <alignment vertical="top" wrapText="1"/>
    </xf>
    <xf numFmtId="0" fontId="0" fillId="0" borderId="0" xfId="0" applyAlignment="1">
      <alignment vertical="top"/>
    </xf>
    <xf numFmtId="0" fontId="24" fillId="0" borderId="0" xfId="0" applyFont="1" applyAlignment="1">
      <alignment vertical="center"/>
    </xf>
    <xf numFmtId="0" fontId="24" fillId="17" borderId="2" xfId="0" applyFont="1" applyFill="1" applyBorder="1" applyAlignment="1">
      <alignment horizontal="left" vertical="center"/>
    </xf>
    <xf numFmtId="0" fontId="14" fillId="0" borderId="0" xfId="0" applyFont="1" applyAlignment="1">
      <alignment horizontal="center" vertical="center"/>
    </xf>
    <xf numFmtId="0" fontId="24" fillId="12" borderId="2" xfId="0" applyFont="1" applyFill="1" applyBorder="1" applyAlignment="1">
      <alignment horizontal="left" vertical="center"/>
    </xf>
    <xf numFmtId="0" fontId="18" fillId="0" borderId="0" xfId="0" applyFont="1" applyAlignment="1">
      <alignment vertical="center"/>
    </xf>
    <xf numFmtId="0" fontId="24" fillId="4" borderId="2" xfId="0" applyFont="1" applyFill="1" applyBorder="1" applyAlignment="1">
      <alignment horizontal="left" vertical="center"/>
    </xf>
    <xf numFmtId="0" fontId="25" fillId="13" borderId="2" xfId="0" applyFont="1" applyFill="1" applyBorder="1" applyAlignment="1">
      <alignment horizontal="left" vertical="center" wrapText="1"/>
    </xf>
    <xf numFmtId="0" fontId="18" fillId="0" borderId="0" xfId="0" applyFont="1" applyAlignment="1">
      <alignment vertical="center" wrapText="1"/>
    </xf>
    <xf numFmtId="0" fontId="25" fillId="16" borderId="2" xfId="0" applyFont="1" applyFill="1" applyBorder="1" applyAlignment="1">
      <alignment horizontal="left" vertical="center" wrapText="1"/>
    </xf>
    <xf numFmtId="0" fontId="25" fillId="6" borderId="2" xfId="0" applyFont="1" applyFill="1" applyBorder="1" applyAlignment="1">
      <alignment horizontal="left" vertical="center" wrapText="1"/>
    </xf>
    <xf numFmtId="0" fontId="24" fillId="10" borderId="2" xfId="0" applyFont="1" applyFill="1" applyBorder="1" applyAlignment="1">
      <alignment horizontal="left" vertical="center" wrapText="1"/>
    </xf>
    <xf numFmtId="0" fontId="24" fillId="9" borderId="2" xfId="0" applyFont="1" applyFill="1" applyBorder="1" applyAlignment="1">
      <alignment horizontal="left" vertical="center"/>
    </xf>
    <xf numFmtId="0" fontId="19" fillId="7" borderId="68" xfId="0" applyFont="1" applyFill="1" applyBorder="1" applyAlignment="1">
      <alignment horizontal="left" vertical="center"/>
    </xf>
    <xf numFmtId="0" fontId="24" fillId="0" borderId="43" xfId="0" applyFont="1" applyBorder="1" applyAlignment="1">
      <alignment horizontal="left" vertical="center"/>
    </xf>
    <xf numFmtId="0" fontId="18" fillId="0" borderId="0" xfId="0" applyFont="1" applyAlignment="1">
      <alignment horizontal="left" vertical="center" wrapText="1"/>
    </xf>
    <xf numFmtId="0" fontId="0" fillId="7" borderId="28" xfId="0" applyFill="1" applyBorder="1"/>
    <xf numFmtId="0" fontId="29" fillId="0" borderId="42" xfId="0" applyFont="1" applyBorder="1" applyAlignment="1">
      <alignment horizontal="center"/>
    </xf>
    <xf numFmtId="0" fontId="2" fillId="7" borderId="11" xfId="0" applyFont="1" applyFill="1" applyBorder="1" applyAlignment="1">
      <alignment horizontal="center" vertical="center"/>
    </xf>
    <xf numFmtId="0" fontId="0" fillId="7" borderId="30" xfId="0" applyFill="1" applyBorder="1" applyAlignment="1">
      <alignment horizontal="center" vertical="center"/>
    </xf>
    <xf numFmtId="0" fontId="29" fillId="0" borderId="51" xfId="0" applyFont="1" applyBorder="1" applyAlignment="1">
      <alignment horizontal="center" vertical="center"/>
    </xf>
    <xf numFmtId="0" fontId="7" fillId="7" borderId="39" xfId="3" applyFont="1" applyFill="1" applyBorder="1" applyProtection="1"/>
    <xf numFmtId="0" fontId="2" fillId="6" borderId="51" xfId="0" applyFont="1" applyFill="1" applyBorder="1" applyAlignment="1">
      <alignment horizontal="center" vertical="center"/>
    </xf>
    <xf numFmtId="0" fontId="6" fillId="7" borderId="85" xfId="3" quotePrefix="1" applyFill="1" applyBorder="1" applyAlignment="1" applyProtection="1">
      <alignment wrapText="1"/>
    </xf>
    <xf numFmtId="0" fontId="2" fillId="7" borderId="80" xfId="0" applyFont="1" applyFill="1" applyBorder="1" applyAlignment="1">
      <alignment horizontal="center" vertical="center"/>
    </xf>
    <xf numFmtId="0" fontId="6" fillId="7" borderId="30" xfId="3" quotePrefix="1" applyFill="1" applyBorder="1" applyAlignment="1" applyProtection="1">
      <alignment wrapText="1"/>
    </xf>
    <xf numFmtId="0" fontId="2" fillId="6" borderId="80" xfId="0" applyFont="1" applyFill="1" applyBorder="1" applyAlignment="1">
      <alignment horizontal="center" vertical="center"/>
    </xf>
    <xf numFmtId="0" fontId="6" fillId="7" borderId="25" xfId="3" applyFill="1" applyBorder="1" applyAlignment="1" applyProtection="1">
      <alignment wrapText="1"/>
    </xf>
    <xf numFmtId="0" fontId="7" fillId="7" borderId="39" xfId="3" applyFont="1" applyFill="1" applyBorder="1" applyAlignment="1" applyProtection="1">
      <alignment wrapText="1"/>
    </xf>
    <xf numFmtId="0" fontId="2" fillId="0" borderId="80" xfId="0" applyFont="1" applyBorder="1" applyAlignment="1">
      <alignment horizontal="center" vertical="center"/>
    </xf>
    <xf numFmtId="0" fontId="2" fillId="7" borderId="44" xfId="0" applyFont="1" applyFill="1" applyBorder="1" applyAlignment="1">
      <alignment horizontal="center" vertical="center"/>
    </xf>
    <xf numFmtId="0" fontId="7" fillId="7" borderId="25" xfId="3" applyFont="1" applyFill="1" applyBorder="1" applyAlignment="1" applyProtection="1">
      <alignment wrapText="1"/>
    </xf>
    <xf numFmtId="0" fontId="7" fillId="7" borderId="25" xfId="3" quotePrefix="1" applyFont="1" applyFill="1" applyBorder="1" applyAlignment="1" applyProtection="1">
      <alignment wrapText="1"/>
    </xf>
    <xf numFmtId="0" fontId="2" fillId="7" borderId="58" xfId="0" applyFont="1" applyFill="1" applyBorder="1" applyAlignment="1">
      <alignment horizontal="center" vertical="center"/>
    </xf>
    <xf numFmtId="0" fontId="0" fillId="16" borderId="56"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14" fontId="2" fillId="0" borderId="0" xfId="0" quotePrefix="1" applyNumberFormat="1" applyFont="1" applyAlignment="1">
      <alignment horizontal="center" vertical="center"/>
    </xf>
    <xf numFmtId="0" fontId="0" fillId="0" borderId="49" xfId="0" applyBorder="1" applyProtection="1">
      <protection locked="0"/>
    </xf>
    <xf numFmtId="0" fontId="0" fillId="0" borderId="39" xfId="0" applyBorder="1" applyProtection="1">
      <protection locked="0"/>
    </xf>
    <xf numFmtId="0" fontId="0" fillId="0" borderId="10" xfId="0" applyBorder="1" applyProtection="1">
      <protection locked="0"/>
    </xf>
    <xf numFmtId="0" fontId="0" fillId="0" borderId="12" xfId="0" applyBorder="1" applyProtection="1">
      <protection locked="0"/>
    </xf>
    <xf numFmtId="0" fontId="0" fillId="0" borderId="1" xfId="0" applyBorder="1" applyAlignment="1" applyProtection="1">
      <alignment horizontal="center" wrapText="1"/>
      <protection locked="0"/>
    </xf>
    <xf numFmtId="0" fontId="0" fillId="0" borderId="1" xfId="0" applyBorder="1" applyAlignment="1">
      <alignment vertical="center" wrapText="1"/>
    </xf>
    <xf numFmtId="0" fontId="0" fillId="0" borderId="1" xfId="0" applyBorder="1" applyAlignment="1">
      <alignment horizontal="center"/>
    </xf>
    <xf numFmtId="0" fontId="0" fillId="0" borderId="1" xfId="0" applyBorder="1" applyAlignment="1">
      <alignment horizontal="center" vertical="center"/>
    </xf>
    <xf numFmtId="0" fontId="2" fillId="0" borderId="1" xfId="0" applyFont="1" applyBorder="1"/>
    <xf numFmtId="0" fontId="2" fillId="0" borderId="1" xfId="0" applyFont="1" applyBorder="1" applyAlignment="1">
      <alignment vertical="center"/>
    </xf>
    <xf numFmtId="0" fontId="2" fillId="0" borderId="1" xfId="0" applyFont="1" applyBorder="1" applyAlignment="1">
      <alignment vertical="center" wrapText="1"/>
    </xf>
    <xf numFmtId="0" fontId="0" fillId="0" borderId="1" xfId="0" quotePrefix="1" applyBorder="1" applyAlignment="1">
      <alignment horizontal="center" vertical="center" wrapText="1"/>
    </xf>
    <xf numFmtId="0" fontId="0" fillId="7" borderId="41" xfId="0" applyFill="1" applyBorder="1"/>
    <xf numFmtId="0" fontId="0" fillId="0" borderId="21" xfId="0" applyBorder="1"/>
    <xf numFmtId="0" fontId="0" fillId="0" borderId="25" xfId="0" applyBorder="1" applyAlignment="1">
      <alignment horizontal="center" vertical="center" wrapText="1"/>
    </xf>
    <xf numFmtId="0" fontId="0" fillId="16" borderId="44" xfId="0" applyFill="1" applyBorder="1" applyAlignment="1">
      <alignment horizontal="left" vertical="center" wrapText="1"/>
    </xf>
    <xf numFmtId="0" fontId="0" fillId="16" borderId="51" xfId="0" applyFill="1" applyBorder="1" applyAlignment="1">
      <alignment horizontal="left" vertical="top" wrapText="1"/>
    </xf>
    <xf numFmtId="0" fontId="0" fillId="0" borderId="39" xfId="0" applyBorder="1" applyAlignment="1">
      <alignment wrapText="1"/>
    </xf>
    <xf numFmtId="0" fontId="0" fillId="0" borderId="0" xfId="0" applyAlignment="1">
      <alignment horizontal="left" vertical="center"/>
    </xf>
    <xf numFmtId="0" fontId="0" fillId="0" borderId="0" xfId="0" quotePrefix="1" applyAlignment="1">
      <alignment horizontal="left" vertical="center"/>
    </xf>
    <xf numFmtId="0" fontId="0" fillId="0" borderId="22" xfId="0" applyBorder="1" applyAlignment="1">
      <alignment horizontal="left"/>
    </xf>
    <xf numFmtId="0" fontId="28" fillId="7" borderId="25" xfId="3" quotePrefix="1" applyFont="1" applyFill="1" applyBorder="1" applyAlignment="1" applyProtection="1">
      <alignment wrapText="1"/>
    </xf>
    <xf numFmtId="0" fontId="30" fillId="7" borderId="25" xfId="0" applyFont="1" applyFill="1" applyBorder="1" applyAlignment="1">
      <alignment horizontal="center"/>
    </xf>
    <xf numFmtId="0" fontId="29" fillId="7" borderId="25" xfId="0" applyFont="1" applyFill="1" applyBorder="1" applyAlignment="1">
      <alignment wrapText="1"/>
    </xf>
    <xf numFmtId="0" fontId="6" fillId="7" borderId="25" xfId="3" quotePrefix="1" applyFill="1" applyBorder="1" applyAlignment="1" applyProtection="1">
      <alignment wrapText="1"/>
    </xf>
    <xf numFmtId="0" fontId="28" fillId="7" borderId="85" xfId="3" quotePrefix="1" applyFont="1" applyFill="1" applyBorder="1" applyAlignment="1" applyProtection="1">
      <alignment wrapText="1"/>
    </xf>
    <xf numFmtId="0" fontId="6" fillId="7" borderId="85" xfId="3" applyFill="1" applyBorder="1" applyAlignment="1" applyProtection="1">
      <alignment wrapText="1"/>
    </xf>
    <xf numFmtId="0" fontId="6" fillId="7" borderId="49" xfId="3" quotePrefix="1" applyFill="1" applyBorder="1" applyAlignment="1" applyProtection="1">
      <alignment wrapText="1"/>
    </xf>
    <xf numFmtId="0" fontId="6" fillId="7" borderId="45" xfId="3" quotePrefix="1" applyFill="1" applyBorder="1" applyAlignment="1" applyProtection="1">
      <alignment wrapText="1"/>
    </xf>
    <xf numFmtId="0" fontId="0" fillId="0" borderId="0" xfId="0" applyAlignment="1">
      <alignment horizontal="center"/>
    </xf>
    <xf numFmtId="0" fontId="0" fillId="0" borderId="22" xfId="0" applyBorder="1" applyAlignment="1">
      <alignment horizontal="left" vertical="center"/>
    </xf>
    <xf numFmtId="0" fontId="6" fillId="0" borderId="1" xfId="3" applyFill="1" applyBorder="1" applyAlignment="1" applyProtection="1">
      <alignment horizontal="center" vertical="center" wrapText="1"/>
    </xf>
    <xf numFmtId="0" fontId="6" fillId="0" borderId="48" xfId="3" applyFill="1" applyBorder="1" applyAlignment="1" applyProtection="1">
      <alignment horizontal="center" vertical="center" wrapText="1"/>
    </xf>
    <xf numFmtId="0" fontId="6" fillId="0" borderId="1" xfId="3" applyFill="1" applyBorder="1" applyAlignment="1">
      <alignment horizontal="center" vertical="center" wrapText="1"/>
    </xf>
    <xf numFmtId="0" fontId="6" fillId="0" borderId="2" xfId="3" applyFill="1" applyBorder="1" applyAlignment="1" applyProtection="1">
      <alignment horizontal="center" vertical="center" wrapText="1"/>
    </xf>
    <xf numFmtId="49" fontId="6" fillId="0" borderId="2" xfId="3" applyNumberFormat="1" applyFill="1" applyBorder="1" applyAlignment="1" applyProtection="1">
      <alignment horizontal="center" vertical="center" wrapText="1"/>
    </xf>
    <xf numFmtId="0" fontId="6" fillId="0" borderId="2" xfId="3" applyFill="1" applyBorder="1" applyAlignment="1">
      <alignment horizontal="center" vertical="center" wrapText="1"/>
    </xf>
    <xf numFmtId="0" fontId="6" fillId="0" borderId="1" xfId="3" applyFill="1" applyBorder="1" applyAlignment="1" applyProtection="1">
      <alignment horizontal="center" vertical="center"/>
    </xf>
    <xf numFmtId="0" fontId="6" fillId="0" borderId="11" xfId="3" applyFill="1" applyBorder="1" applyAlignment="1" applyProtection="1">
      <alignment horizontal="center" vertical="center"/>
    </xf>
    <xf numFmtId="0" fontId="6" fillId="0" borderId="51" xfId="3" applyFill="1" applyBorder="1" applyAlignment="1" applyProtection="1">
      <alignment horizontal="center" vertical="center" wrapText="1"/>
    </xf>
    <xf numFmtId="0" fontId="6" fillId="0" borderId="11" xfId="3" applyFill="1" applyBorder="1" applyAlignment="1" applyProtection="1">
      <alignment horizontal="center" vertical="center" wrapText="1"/>
    </xf>
    <xf numFmtId="0" fontId="6" fillId="0" borderId="53" xfId="3" applyFill="1" applyBorder="1" applyAlignment="1" applyProtection="1">
      <alignment horizontal="center" vertical="center" wrapText="1"/>
    </xf>
    <xf numFmtId="0" fontId="6" fillId="0" borderId="5" xfId="3" applyFill="1" applyBorder="1" applyAlignment="1" applyProtection="1">
      <alignment horizontal="center" vertical="center" wrapText="1"/>
    </xf>
    <xf numFmtId="0" fontId="6" fillId="0" borderId="46" xfId="3" applyFill="1" applyBorder="1" applyAlignment="1">
      <alignment horizontal="center" vertical="center" wrapText="1"/>
    </xf>
    <xf numFmtId="0" fontId="0" fillId="0" borderId="0" xfId="0" applyAlignment="1">
      <alignment vertical="center" wrapText="1"/>
    </xf>
    <xf numFmtId="0" fontId="0" fillId="0" borderId="0" xfId="0" applyAlignment="1">
      <alignment horizontal="left" wrapText="1"/>
    </xf>
    <xf numFmtId="0" fontId="0" fillId="0" borderId="22" xfId="0" quotePrefix="1" applyBorder="1" applyAlignment="1">
      <alignment horizontal="left" vertical="center"/>
    </xf>
    <xf numFmtId="0" fontId="0" fillId="0" borderId="22" xfId="0" applyBorder="1" applyAlignment="1">
      <alignment wrapText="1"/>
    </xf>
    <xf numFmtId="0" fontId="0" fillId="0" borderId="34" xfId="0" quotePrefix="1" applyBorder="1" applyAlignment="1">
      <alignment horizontal="left" vertical="center"/>
    </xf>
    <xf numFmtId="0" fontId="0" fillId="0" borderId="34" xfId="0" applyBorder="1" applyAlignment="1">
      <alignment horizontal="left"/>
    </xf>
    <xf numFmtId="0" fontId="0" fillId="0" borderId="0" xfId="0" applyAlignment="1">
      <alignment horizontal="left" indent="2"/>
    </xf>
    <xf numFmtId="0" fontId="0" fillId="0" borderId="0" xfId="0" applyAlignment="1">
      <alignment horizontal="left" indent="1"/>
    </xf>
    <xf numFmtId="0" fontId="6" fillId="0" borderId="0" xfId="3" applyAlignment="1">
      <alignment horizontal="center" vertical="center"/>
    </xf>
    <xf numFmtId="0" fontId="9" fillId="0" borderId="5" xfId="0" applyFont="1" applyBorder="1"/>
    <xf numFmtId="0" fontId="6" fillId="0" borderId="0" xfId="3" applyProtection="1">
      <protection locked="0"/>
    </xf>
    <xf numFmtId="0" fontId="0" fillId="7" borderId="0" xfId="0" applyFill="1" applyAlignment="1">
      <alignment horizontal="left" vertical="center"/>
    </xf>
    <xf numFmtId="0" fontId="2" fillId="3" borderId="33"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3" borderId="35" xfId="0" applyFont="1" applyFill="1" applyBorder="1" applyAlignment="1">
      <alignment horizontal="center" vertical="center" wrapText="1"/>
    </xf>
    <xf numFmtId="2" fontId="1" fillId="13" borderId="61" xfId="2" applyFill="1" applyBorder="1" applyAlignment="1">
      <alignment horizontal="center" vertical="center"/>
    </xf>
    <xf numFmtId="2" fontId="1" fillId="13" borderId="63" xfId="2" applyFill="1" applyBorder="1" applyAlignment="1">
      <alignment horizontal="center" vertical="center"/>
    </xf>
    <xf numFmtId="2" fontId="0" fillId="13" borderId="33" xfId="2" applyFont="1" applyFill="1" applyBorder="1" applyAlignment="1">
      <alignment horizontal="center" vertical="center"/>
    </xf>
    <xf numFmtId="2" fontId="0" fillId="13" borderId="34" xfId="2" applyFont="1" applyFill="1" applyBorder="1" applyAlignment="1">
      <alignment horizontal="center" vertical="center"/>
    </xf>
    <xf numFmtId="2" fontId="0" fillId="13" borderId="35" xfId="2" applyFont="1" applyFill="1" applyBorder="1" applyAlignment="1">
      <alignment horizontal="center" vertical="center"/>
    </xf>
    <xf numFmtId="0" fontId="2" fillId="3" borderId="15" xfId="0" applyFont="1" applyFill="1" applyBorder="1" applyAlignment="1">
      <alignment horizontal="center"/>
    </xf>
    <xf numFmtId="0" fontId="2" fillId="3" borderId="16" xfId="0" applyFont="1" applyFill="1" applyBorder="1" applyAlignment="1">
      <alignment horizontal="center"/>
    </xf>
    <xf numFmtId="0" fontId="2" fillId="3" borderId="17" xfId="0" applyFont="1" applyFill="1" applyBorder="1" applyAlignment="1">
      <alignment horizontal="center"/>
    </xf>
    <xf numFmtId="0" fontId="6" fillId="0" borderId="10" xfId="3" applyFill="1" applyBorder="1" applyAlignment="1" applyProtection="1">
      <alignment horizontal="center" vertical="center"/>
    </xf>
    <xf numFmtId="0" fontId="6" fillId="0" borderId="3" xfId="3" applyFill="1" applyBorder="1" applyAlignment="1" applyProtection="1">
      <alignment horizontal="center" vertical="center"/>
    </xf>
    <xf numFmtId="0" fontId="6" fillId="0" borderId="21" xfId="3" applyFill="1" applyBorder="1" applyAlignment="1" applyProtection="1">
      <alignment horizontal="center" vertical="center"/>
    </xf>
    <xf numFmtId="0" fontId="6" fillId="0" borderId="10" xfId="3" applyFill="1" applyBorder="1" applyAlignment="1" applyProtection="1">
      <alignment horizontal="center" vertical="center" wrapText="1"/>
    </xf>
    <xf numFmtId="0" fontId="6" fillId="0" borderId="3" xfId="3" applyFill="1" applyBorder="1" applyAlignment="1" applyProtection="1">
      <alignment horizontal="center" vertical="center" wrapText="1"/>
    </xf>
    <xf numFmtId="0" fontId="6" fillId="0" borderId="21" xfId="3" applyFill="1" applyBorder="1" applyAlignment="1" applyProtection="1">
      <alignment horizontal="center" vertical="center" wrapText="1"/>
    </xf>
    <xf numFmtId="0" fontId="7" fillId="0" borderId="43"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56" xfId="0" applyFont="1" applyBorder="1" applyAlignment="1">
      <alignment horizontal="center" vertical="center" wrapText="1"/>
    </xf>
    <xf numFmtId="2" fontId="0" fillId="0" borderId="2" xfId="0" applyNumberFormat="1" applyBorder="1" applyAlignment="1" applyProtection="1">
      <alignment horizontal="right" wrapText="1"/>
      <protection locked="0"/>
    </xf>
    <xf numFmtId="2" fontId="0" fillId="0" borderId="3" xfId="0" applyNumberFormat="1" applyBorder="1" applyAlignment="1" applyProtection="1">
      <alignment horizontal="right" wrapText="1"/>
      <protection locked="0"/>
    </xf>
    <xf numFmtId="2" fontId="0" fillId="0" borderId="21" xfId="0" applyNumberFormat="1" applyBorder="1" applyAlignment="1" applyProtection="1">
      <alignment horizontal="right" wrapText="1"/>
      <protection locked="0"/>
    </xf>
    <xf numFmtId="0" fontId="2" fillId="7" borderId="0" xfId="0" applyFont="1" applyFill="1" applyAlignment="1">
      <alignment horizontal="center" vertical="center"/>
    </xf>
    <xf numFmtId="2" fontId="0" fillId="0" borderId="46" xfId="0" applyNumberFormat="1" applyBorder="1" applyAlignment="1" applyProtection="1">
      <alignment horizontal="right" wrapText="1"/>
      <protection locked="0"/>
    </xf>
    <xf numFmtId="2" fontId="0" fillId="0" borderId="5" xfId="0" applyNumberFormat="1" applyBorder="1" applyAlignment="1" applyProtection="1">
      <alignment horizontal="right" wrapText="1"/>
      <protection locked="0"/>
    </xf>
    <xf numFmtId="2" fontId="0" fillId="0" borderId="47" xfId="0" applyNumberFormat="1" applyBorder="1" applyAlignment="1" applyProtection="1">
      <alignment horizontal="right" wrapText="1"/>
      <protection locked="0"/>
    </xf>
    <xf numFmtId="0" fontId="6" fillId="0" borderId="5" xfId="3" applyFill="1" applyBorder="1" applyAlignment="1" applyProtection="1">
      <alignment horizontal="center" vertical="center" wrapText="1"/>
    </xf>
    <xf numFmtId="0" fontId="6" fillId="0" borderId="47" xfId="3" applyFill="1" applyBorder="1" applyAlignment="1" applyProtection="1">
      <alignment horizontal="center" vertical="center" wrapText="1"/>
    </xf>
    <xf numFmtId="0" fontId="7" fillId="0" borderId="4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7" xfId="0" applyFont="1" applyBorder="1" applyAlignment="1">
      <alignment horizontal="center" vertical="center" wrapText="1"/>
    </xf>
    <xf numFmtId="2" fontId="0" fillId="13" borderId="43" xfId="0" applyNumberFormat="1" applyFill="1" applyBorder="1" applyAlignment="1">
      <alignment horizontal="right" wrapText="1"/>
    </xf>
    <xf numFmtId="2" fontId="0" fillId="13" borderId="41" xfId="0" applyNumberFormat="1" applyFill="1" applyBorder="1" applyAlignment="1">
      <alignment horizontal="right" wrapText="1"/>
    </xf>
    <xf numFmtId="2" fontId="0" fillId="13" borderId="56" xfId="0" applyNumberFormat="1" applyFill="1" applyBorder="1" applyAlignment="1">
      <alignment horizontal="right" wrapText="1"/>
    </xf>
    <xf numFmtId="2" fontId="0" fillId="13" borderId="37" xfId="0" applyNumberFormat="1" applyFill="1" applyBorder="1" applyAlignment="1">
      <alignment horizontal="right" wrapText="1"/>
    </xf>
    <xf numFmtId="2" fontId="0" fillId="13" borderId="14" xfId="0" applyNumberFormat="1" applyFill="1" applyBorder="1" applyAlignment="1">
      <alignment horizontal="right" wrapText="1"/>
    </xf>
    <xf numFmtId="0" fontId="0" fillId="0" borderId="10" xfId="0" applyBorder="1" applyAlignment="1" applyProtection="1">
      <alignment horizontal="center"/>
      <protection locked="0"/>
    </xf>
    <xf numFmtId="0" fontId="0" fillId="0" borderId="4" xfId="0" applyBorder="1" applyAlignment="1" applyProtection="1">
      <alignment horizontal="center"/>
      <protection locked="0"/>
    </xf>
    <xf numFmtId="2" fontId="0" fillId="6" borderId="1" xfId="0" applyNumberFormat="1" applyFill="1" applyBorder="1" applyAlignment="1" applyProtection="1">
      <alignment horizontal="right" wrapText="1"/>
      <protection locked="0"/>
    </xf>
    <xf numFmtId="2" fontId="0" fillId="6" borderId="11" xfId="0" applyNumberFormat="1" applyFill="1" applyBorder="1" applyAlignment="1" applyProtection="1">
      <alignment horizontal="right" wrapText="1"/>
      <protection locked="0"/>
    </xf>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9" xfId="0" applyFont="1" applyFill="1" applyBorder="1" applyAlignment="1">
      <alignment horizontal="center"/>
    </xf>
    <xf numFmtId="0" fontId="6" fillId="0" borderId="18" xfId="3" applyFill="1" applyBorder="1" applyAlignment="1" applyProtection="1">
      <alignment horizontal="center" vertical="center"/>
    </xf>
    <xf numFmtId="0" fontId="6" fillId="0" borderId="1" xfId="3" applyFill="1" applyBorder="1" applyAlignment="1" applyProtection="1">
      <alignment horizontal="center" vertical="center"/>
    </xf>
    <xf numFmtId="0" fontId="6" fillId="0" borderId="11" xfId="3" applyFill="1" applyBorder="1" applyAlignment="1" applyProtection="1">
      <alignment horizontal="center" vertical="center"/>
    </xf>
    <xf numFmtId="0" fontId="6" fillId="0" borderId="18" xfId="3" applyFill="1" applyBorder="1" applyAlignment="1" applyProtection="1">
      <alignment horizontal="center" vertical="center" wrapText="1"/>
    </xf>
    <xf numFmtId="0" fontId="6" fillId="0" borderId="1" xfId="3" applyFill="1" applyBorder="1" applyAlignment="1" applyProtection="1">
      <alignment horizontal="center" vertical="center" wrapText="1"/>
    </xf>
    <xf numFmtId="0" fontId="6" fillId="0" borderId="11" xfId="3" applyFill="1" applyBorder="1" applyAlignment="1" applyProtection="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10" fillId="16" borderId="10" xfId="3" applyFont="1" applyFill="1" applyBorder="1" applyAlignment="1" applyProtection="1">
      <alignment horizontal="center" vertical="center" wrapText="1"/>
    </xf>
    <xf numFmtId="0" fontId="31" fillId="16" borderId="4" xfId="3" applyFont="1" applyFill="1" applyBorder="1" applyAlignment="1" applyProtection="1">
      <alignment horizontal="center" vertical="center" wrapText="1"/>
    </xf>
    <xf numFmtId="0" fontId="0" fillId="16" borderId="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7" borderId="0" xfId="0" applyFill="1" applyAlignment="1">
      <alignment horizontal="left"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2" fontId="0" fillId="13" borderId="20" xfId="0" applyNumberFormat="1" applyFill="1" applyBorder="1" applyAlignment="1">
      <alignment horizontal="right" wrapText="1"/>
    </xf>
    <xf numFmtId="2" fontId="0" fillId="0" borderId="57" xfId="0" applyNumberFormat="1" applyBorder="1" applyAlignment="1" applyProtection="1">
      <alignment horizontal="right" vertical="center"/>
      <protection locked="0"/>
    </xf>
    <xf numFmtId="2" fontId="0" fillId="0" borderId="58" xfId="0" applyNumberFormat="1" applyBorder="1" applyAlignment="1" applyProtection="1">
      <alignment horizontal="right" vertical="center"/>
      <protection locked="0"/>
    </xf>
    <xf numFmtId="0" fontId="2" fillId="3" borderId="7" xfId="0" applyFont="1" applyFill="1" applyBorder="1" applyAlignment="1">
      <alignment horizontal="center"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0" fillId="0" borderId="48" xfId="0" applyBorder="1" applyAlignment="1" applyProtection="1">
      <alignment horizontal="center" vertical="center" wrapText="1"/>
      <protection locked="0"/>
    </xf>
    <xf numFmtId="0" fontId="0" fillId="0" borderId="51" xfId="0" applyBorder="1" applyAlignment="1" applyProtection="1">
      <alignment horizontal="center" vertical="center" wrapText="1"/>
      <protection locked="0"/>
    </xf>
    <xf numFmtId="0" fontId="2" fillId="3" borderId="28" xfId="0" applyFont="1" applyFill="1" applyBorder="1" applyAlignment="1">
      <alignment horizontal="center"/>
    </xf>
    <xf numFmtId="0" fontId="2" fillId="3" borderId="29" xfId="0" applyFont="1" applyFill="1" applyBorder="1" applyAlignment="1">
      <alignment horizontal="center"/>
    </xf>
    <xf numFmtId="0" fontId="2" fillId="3" borderId="31" xfId="0" applyFont="1" applyFill="1" applyBorder="1" applyAlignment="1">
      <alignment horizontal="center"/>
    </xf>
    <xf numFmtId="2" fontId="9" fillId="0" borderId="8" xfId="0" applyNumberFormat="1" applyFont="1" applyBorder="1" applyAlignment="1" applyProtection="1">
      <alignment horizontal="right" vertical="center" wrapText="1"/>
      <protection locked="0"/>
    </xf>
    <xf numFmtId="2" fontId="9" fillId="0" borderId="9" xfId="0" applyNumberFormat="1" applyFont="1" applyBorder="1" applyAlignment="1" applyProtection="1">
      <alignment horizontal="right" vertical="center" wrapText="1"/>
      <protection locked="0"/>
    </xf>
    <xf numFmtId="2" fontId="9" fillId="16" borderId="2" xfId="0" applyNumberFormat="1" applyFont="1" applyFill="1" applyBorder="1" applyAlignment="1" applyProtection="1">
      <alignment horizontal="right" vertical="center" wrapText="1"/>
      <protection locked="0"/>
    </xf>
    <xf numFmtId="2" fontId="9" fillId="16" borderId="3" xfId="0" applyNumberFormat="1" applyFont="1" applyFill="1" applyBorder="1" applyAlignment="1" applyProtection="1">
      <alignment horizontal="right" vertical="center" wrapText="1"/>
      <protection locked="0"/>
    </xf>
    <xf numFmtId="2" fontId="9" fillId="16" borderId="21" xfId="0" applyNumberFormat="1" applyFont="1" applyFill="1" applyBorder="1" applyAlignment="1" applyProtection="1">
      <alignment horizontal="right" vertical="center" wrapText="1"/>
      <protection locked="0"/>
    </xf>
    <xf numFmtId="2" fontId="0" fillId="13" borderId="2" xfId="0" applyNumberFormat="1" applyFill="1" applyBorder="1" applyAlignment="1" applyProtection="1">
      <alignment horizontal="right" vertical="center" wrapText="1"/>
      <protection locked="0"/>
    </xf>
    <xf numFmtId="2" fontId="0" fillId="13" borderId="3" xfId="0" applyNumberFormat="1" applyFill="1" applyBorder="1" applyAlignment="1" applyProtection="1">
      <alignment horizontal="right" vertical="center" wrapText="1"/>
      <protection locked="0"/>
    </xf>
    <xf numFmtId="2" fontId="0" fillId="13" borderId="21" xfId="0" applyNumberFormat="1" applyFill="1" applyBorder="1" applyAlignment="1" applyProtection="1">
      <alignment horizontal="right" vertical="center" wrapText="1"/>
      <protection locked="0"/>
    </xf>
    <xf numFmtId="2" fontId="0" fillId="13" borderId="37" xfId="0" applyNumberFormat="1" applyFill="1" applyBorder="1" applyAlignment="1" applyProtection="1">
      <alignment horizontal="right" vertical="center" wrapText="1"/>
      <protection locked="0"/>
    </xf>
    <xf numFmtId="2" fontId="0" fillId="13" borderId="27" xfId="0" applyNumberFormat="1" applyFill="1" applyBorder="1" applyAlignment="1" applyProtection="1">
      <alignment horizontal="right" vertical="center" wrapText="1"/>
      <protection locked="0"/>
    </xf>
    <xf numFmtId="2" fontId="0" fillId="13" borderId="36" xfId="0" applyNumberFormat="1" applyFill="1" applyBorder="1" applyAlignment="1" applyProtection="1">
      <alignment horizontal="right" vertical="center" wrapText="1"/>
      <protection locked="0"/>
    </xf>
    <xf numFmtId="2" fontId="9" fillId="6" borderId="2" xfId="3" applyNumberFormat="1" applyFont="1" applyFill="1" applyBorder="1" applyAlignment="1" applyProtection="1">
      <alignment horizontal="right" vertical="center" wrapText="1"/>
      <protection locked="0"/>
    </xf>
    <xf numFmtId="2" fontId="9" fillId="6" borderId="11" xfId="3" applyNumberFormat="1" applyFont="1" applyFill="1" applyBorder="1" applyAlignment="1" applyProtection="1">
      <alignment horizontal="right" vertical="center" wrapText="1"/>
      <protection locked="0"/>
    </xf>
    <xf numFmtId="10" fontId="0" fillId="13" borderId="27" xfId="0" applyNumberFormat="1" applyFill="1" applyBorder="1" applyAlignment="1">
      <alignment horizontal="right" vertical="center"/>
    </xf>
    <xf numFmtId="10" fontId="0" fillId="13" borderId="36" xfId="0" applyNumberFormat="1" applyFill="1" applyBorder="1" applyAlignment="1">
      <alignment horizontal="right" vertical="center"/>
    </xf>
    <xf numFmtId="0" fontId="9" fillId="8" borderId="1" xfId="0" applyFont="1" applyFill="1" applyBorder="1" applyAlignment="1">
      <alignment horizontal="center" vertical="center" wrapText="1"/>
    </xf>
    <xf numFmtId="0" fontId="9" fillId="8" borderId="11" xfId="0" applyFont="1" applyFill="1" applyBorder="1" applyAlignment="1">
      <alignment horizontal="center" vertical="center" wrapText="1"/>
    </xf>
    <xf numFmtId="2" fontId="0" fillId="0" borderId="1" xfId="0" applyNumberFormat="1" applyBorder="1" applyAlignment="1" applyProtection="1">
      <alignment horizontal="right" vertical="center" wrapText="1"/>
      <protection locked="0"/>
    </xf>
    <xf numFmtId="2" fontId="0" fillId="0" borderId="11" xfId="0" applyNumberFormat="1" applyBorder="1" applyAlignment="1" applyProtection="1">
      <alignment horizontal="right" vertical="center" wrapText="1"/>
      <protection locked="0"/>
    </xf>
    <xf numFmtId="0" fontId="2" fillId="7" borderId="25" xfId="0" applyFont="1" applyFill="1" applyBorder="1" applyAlignment="1">
      <alignment horizontal="center" vertical="center"/>
    </xf>
    <xf numFmtId="0" fontId="6" fillId="0" borderId="53" xfId="3" applyFill="1" applyBorder="1" applyAlignment="1" applyProtection="1">
      <alignment horizontal="center" vertical="center" wrapText="1"/>
    </xf>
    <xf numFmtId="0" fontId="6" fillId="0" borderId="40" xfId="3" applyFill="1" applyBorder="1" applyAlignment="1" applyProtection="1">
      <alignment horizontal="center" vertical="center" wrapText="1"/>
    </xf>
    <xf numFmtId="0" fontId="6" fillId="0" borderId="41" xfId="3" applyFill="1" applyBorder="1" applyAlignment="1" applyProtection="1">
      <alignment horizontal="center" vertical="center" wrapText="1"/>
    </xf>
    <xf numFmtId="2" fontId="0" fillId="16" borderId="72" xfId="0" applyNumberFormat="1" applyFill="1" applyBorder="1" applyAlignment="1" applyProtection="1">
      <alignment horizontal="right" vertical="center" wrapText="1"/>
      <protection locked="0"/>
    </xf>
    <xf numFmtId="2" fontId="0" fillId="16" borderId="16" xfId="0" applyNumberFormat="1" applyFill="1" applyBorder="1" applyAlignment="1" applyProtection="1">
      <alignment horizontal="right" vertical="center" wrapText="1"/>
      <protection locked="0"/>
    </xf>
    <xf numFmtId="2" fontId="0" fillId="16" borderId="17" xfId="0" applyNumberFormat="1" applyFill="1" applyBorder="1" applyAlignment="1" applyProtection="1">
      <alignment horizontal="right" vertical="center" wrapText="1"/>
      <protection locked="0"/>
    </xf>
    <xf numFmtId="10" fontId="0" fillId="13" borderId="37" xfId="0" applyNumberFormat="1" applyFill="1" applyBorder="1" applyAlignment="1" applyProtection="1">
      <alignment horizontal="right" vertical="center"/>
      <protection locked="0"/>
    </xf>
    <xf numFmtId="10" fontId="0" fillId="13" borderId="27" xfId="0" applyNumberFormat="1" applyFill="1" applyBorder="1" applyAlignment="1" applyProtection="1">
      <alignment horizontal="right" vertical="center"/>
      <protection locked="0"/>
    </xf>
    <xf numFmtId="10" fontId="0" fillId="13" borderId="36" xfId="0" applyNumberFormat="1" applyFill="1" applyBorder="1" applyAlignment="1" applyProtection="1">
      <alignment horizontal="right" vertical="center"/>
      <protection locked="0"/>
    </xf>
    <xf numFmtId="2" fontId="0" fillId="6" borderId="43" xfId="0" applyNumberFormat="1" applyFill="1" applyBorder="1" applyAlignment="1" applyProtection="1">
      <alignment horizontal="right" vertical="center" wrapText="1"/>
      <protection locked="0"/>
    </xf>
    <xf numFmtId="2" fontId="0" fillId="6" borderId="41" xfId="0" applyNumberFormat="1" applyFill="1" applyBorder="1" applyAlignment="1" applyProtection="1">
      <alignment horizontal="right" vertical="center" wrapText="1"/>
      <protection locked="0"/>
    </xf>
    <xf numFmtId="2" fontId="0" fillId="6" borderId="56" xfId="0" applyNumberFormat="1" applyFill="1" applyBorder="1" applyAlignment="1" applyProtection="1">
      <alignment horizontal="right" vertical="center" wrapText="1"/>
      <protection locked="0"/>
    </xf>
    <xf numFmtId="2" fontId="0" fillId="6" borderId="37" xfId="0" applyNumberFormat="1" applyFill="1" applyBorder="1" applyAlignment="1" applyProtection="1">
      <alignment horizontal="right" vertical="center" wrapText="1"/>
      <protection locked="0"/>
    </xf>
    <xf numFmtId="2" fontId="0" fillId="6" borderId="27" xfId="0" applyNumberFormat="1" applyFill="1" applyBorder="1" applyAlignment="1" applyProtection="1">
      <alignment horizontal="right" vertical="center" wrapText="1"/>
      <protection locked="0"/>
    </xf>
    <xf numFmtId="2" fontId="0" fillId="6" borderId="36" xfId="0" applyNumberFormat="1" applyFill="1" applyBorder="1" applyAlignment="1" applyProtection="1">
      <alignment horizontal="right" vertical="center" wrapText="1"/>
      <protection locked="0"/>
    </xf>
    <xf numFmtId="0" fontId="2" fillId="4" borderId="7" xfId="0" applyFont="1" applyFill="1" applyBorder="1" applyAlignment="1">
      <alignment horizontal="center" wrapText="1"/>
    </xf>
    <xf numFmtId="0" fontId="2" fillId="4" borderId="8" xfId="0" applyFont="1" applyFill="1" applyBorder="1" applyAlignment="1">
      <alignment horizontal="center" wrapText="1"/>
    </xf>
    <xf numFmtId="0" fontId="2" fillId="4" borderId="9" xfId="0" applyFont="1" applyFill="1" applyBorder="1" applyAlignment="1">
      <alignment horizontal="center" wrapText="1"/>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4" fillId="7" borderId="68" xfId="0" applyFont="1" applyFill="1" applyBorder="1" applyAlignment="1">
      <alignment horizontal="center"/>
    </xf>
    <xf numFmtId="0" fontId="4" fillId="7" borderId="69" xfId="0" applyFont="1" applyFill="1" applyBorder="1" applyAlignment="1">
      <alignment horizontal="center"/>
    </xf>
    <xf numFmtId="0" fontId="4" fillId="7" borderId="70" xfId="0" applyFont="1" applyFill="1" applyBorder="1" applyAlignment="1">
      <alignment horizontal="center"/>
    </xf>
    <xf numFmtId="0" fontId="0" fillId="6" borderId="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16" borderId="10" xfId="0" applyFont="1" applyFill="1" applyBorder="1" applyAlignment="1">
      <alignment horizontal="center" vertical="center" wrapText="1"/>
    </xf>
    <xf numFmtId="0" fontId="4" fillId="16" borderId="3" xfId="0" applyFont="1" applyFill="1" applyBorder="1" applyAlignment="1">
      <alignment horizontal="center" vertical="center" wrapText="1"/>
    </xf>
    <xf numFmtId="0" fontId="4" fillId="16" borderId="21" xfId="0" applyFont="1" applyFill="1" applyBorder="1" applyAlignment="1">
      <alignment horizontal="center" vertical="center" wrapText="1"/>
    </xf>
    <xf numFmtId="2" fontId="0" fillId="13" borderId="45" xfId="0" applyNumberFormat="1" applyFill="1" applyBorder="1" applyAlignment="1">
      <alignment horizontal="right" wrapText="1"/>
    </xf>
    <xf numFmtId="2" fontId="0" fillId="13" borderId="22" xfId="0" applyNumberFormat="1" applyFill="1" applyBorder="1" applyAlignment="1">
      <alignment horizontal="right" wrapText="1"/>
    </xf>
    <xf numFmtId="2" fontId="0" fillId="13" borderId="23" xfId="0" applyNumberFormat="1" applyFill="1" applyBorder="1" applyAlignment="1">
      <alignment horizontal="right" wrapText="1"/>
    </xf>
    <xf numFmtId="0" fontId="2" fillId="4" borderId="38" xfId="0" applyFont="1" applyFill="1" applyBorder="1" applyAlignment="1">
      <alignment horizontal="center" wrapText="1"/>
    </xf>
    <xf numFmtId="0" fontId="2" fillId="4" borderId="65" xfId="0" applyFont="1" applyFill="1" applyBorder="1" applyAlignment="1">
      <alignment horizontal="center" wrapText="1"/>
    </xf>
    <xf numFmtId="0" fontId="2" fillId="4" borderId="42" xfId="0" applyFont="1" applyFill="1" applyBorder="1" applyAlignment="1">
      <alignment horizontal="center" wrapText="1"/>
    </xf>
    <xf numFmtId="2" fontId="0" fillId="6" borderId="72" xfId="0" applyNumberFormat="1" applyFill="1" applyBorder="1" applyAlignment="1" applyProtection="1">
      <alignment horizontal="right" vertical="center" wrapText="1"/>
      <protection locked="0"/>
    </xf>
    <xf numFmtId="2" fontId="0" fillId="6" borderId="16" xfId="0" applyNumberFormat="1" applyFill="1" applyBorder="1" applyAlignment="1" applyProtection="1">
      <alignment horizontal="right" vertical="center" wrapText="1"/>
      <protection locked="0"/>
    </xf>
    <xf numFmtId="2" fontId="0" fillId="6" borderId="17" xfId="0" applyNumberFormat="1" applyFill="1" applyBorder="1" applyAlignment="1" applyProtection="1">
      <alignment horizontal="right" vertical="center" wrapText="1"/>
      <protection locked="0"/>
    </xf>
    <xf numFmtId="2" fontId="0" fillId="6" borderId="2" xfId="0" applyNumberFormat="1" applyFill="1" applyBorder="1" applyAlignment="1" applyProtection="1">
      <alignment horizontal="right" vertical="center" wrapText="1"/>
      <protection locked="0"/>
    </xf>
    <xf numFmtId="2" fontId="0" fillId="6" borderId="3" xfId="0" applyNumberFormat="1" applyFill="1" applyBorder="1" applyAlignment="1" applyProtection="1">
      <alignment horizontal="right" vertical="center" wrapText="1"/>
      <protection locked="0"/>
    </xf>
    <xf numFmtId="2" fontId="0" fillId="6" borderId="21" xfId="0" applyNumberFormat="1" applyFill="1" applyBorder="1" applyAlignment="1" applyProtection="1">
      <alignment horizontal="right" vertical="center" wrapText="1"/>
      <protection locked="0"/>
    </xf>
    <xf numFmtId="2" fontId="0" fillId="13" borderId="37" xfId="0" applyNumberFormat="1" applyFill="1" applyBorder="1" applyAlignment="1">
      <alignment horizontal="right" vertical="center" wrapText="1"/>
    </xf>
    <xf numFmtId="2" fontId="0" fillId="13" borderId="27" xfId="0" applyNumberFormat="1" applyFill="1" applyBorder="1" applyAlignment="1">
      <alignment horizontal="right" vertical="center" wrapText="1"/>
    </xf>
    <xf numFmtId="2" fontId="0" fillId="13" borderId="36" xfId="0" applyNumberFormat="1" applyFill="1" applyBorder="1" applyAlignment="1">
      <alignment horizontal="right" vertical="center" wrapText="1"/>
    </xf>
    <xf numFmtId="0" fontId="0" fillId="6" borderId="5" xfId="0" applyFill="1" applyBorder="1" applyAlignment="1" applyProtection="1">
      <alignment horizontal="left" vertical="top"/>
      <protection locked="0"/>
    </xf>
    <xf numFmtId="0" fontId="0" fillId="6" borderId="47" xfId="0" applyFill="1" applyBorder="1" applyAlignment="1" applyProtection="1">
      <alignment horizontal="left" vertical="top"/>
      <protection locked="0"/>
    </xf>
    <xf numFmtId="0" fontId="0" fillId="0" borderId="37"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6"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1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 xfId="0" applyFill="1" applyBorder="1" applyAlignment="1" applyProtection="1">
      <alignment horizontal="left" vertical="center"/>
      <protection locked="0"/>
    </xf>
    <xf numFmtId="0" fontId="0" fillId="6" borderId="3" xfId="0" applyFill="1" applyBorder="1" applyAlignment="1" applyProtection="1">
      <alignment horizontal="left" vertical="center"/>
      <protection locked="0"/>
    </xf>
    <xf numFmtId="0" fontId="0" fillId="6" borderId="21" xfId="0" applyFill="1" applyBorder="1" applyAlignment="1" applyProtection="1">
      <alignment horizontal="left" vertical="center"/>
      <protection locked="0"/>
    </xf>
    <xf numFmtId="0" fontId="0" fillId="6" borderId="27"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2" fillId="14" borderId="28" xfId="0" applyFont="1" applyFill="1" applyBorder="1" applyAlignment="1">
      <alignment horizontal="center" vertical="center" wrapText="1"/>
    </xf>
    <xf numFmtId="0" fontId="2" fillId="14" borderId="29" xfId="0" applyFont="1" applyFill="1" applyBorder="1" applyAlignment="1">
      <alignment horizontal="center" vertical="center" wrapText="1"/>
    </xf>
    <xf numFmtId="0" fontId="2" fillId="14" borderId="31" xfId="0" applyFont="1" applyFill="1" applyBorder="1" applyAlignment="1">
      <alignment horizontal="center" vertical="center" wrapText="1"/>
    </xf>
    <xf numFmtId="0" fontId="6" fillId="0" borderId="52" xfId="3" applyFill="1" applyBorder="1" applyAlignment="1" applyProtection="1">
      <alignment horizontal="center" vertical="center"/>
    </xf>
    <xf numFmtId="0" fontId="6" fillId="0" borderId="5" xfId="3" applyFill="1" applyBorder="1" applyAlignment="1" applyProtection="1">
      <alignment horizontal="center" vertical="center"/>
    </xf>
    <xf numFmtId="0" fontId="6" fillId="0" borderId="47" xfId="3" applyFill="1" applyBorder="1" applyAlignment="1" applyProtection="1">
      <alignment horizontal="center" vertical="center"/>
    </xf>
    <xf numFmtId="0" fontId="0" fillId="0" borderId="12" xfId="0" applyBorder="1" applyAlignment="1" applyProtection="1">
      <alignment horizontal="left" vertical="top" wrapText="1"/>
      <protection locked="0"/>
    </xf>
    <xf numFmtId="0" fontId="0" fillId="0" borderId="27" xfId="0" applyBorder="1" applyAlignment="1" applyProtection="1">
      <alignment horizontal="left" vertical="top" wrapText="1"/>
      <protection locked="0"/>
    </xf>
    <xf numFmtId="0" fontId="0" fillId="0" borderId="36" xfId="0" applyBorder="1" applyAlignment="1" applyProtection="1">
      <alignment horizontal="left" vertical="top" wrapText="1"/>
      <protection locked="0"/>
    </xf>
    <xf numFmtId="0" fontId="0" fillId="6" borderId="1"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14" fontId="16" fillId="0" borderId="0" xfId="0" applyNumberFormat="1" applyFont="1" applyAlignment="1">
      <alignment horizontal="center" wrapText="1"/>
    </xf>
    <xf numFmtId="0" fontId="19" fillId="11" borderId="2" xfId="0" applyFont="1" applyFill="1" applyBorder="1" applyAlignment="1">
      <alignment horizontal="left" vertical="center" wrapText="1"/>
    </xf>
    <xf numFmtId="0" fontId="19" fillId="11" borderId="3" xfId="0" applyFont="1" applyFill="1" applyBorder="1" applyAlignment="1">
      <alignment horizontal="left" vertical="center" wrapText="1"/>
    </xf>
    <xf numFmtId="0" fontId="19" fillId="11" borderId="4" xfId="0" applyFont="1" applyFill="1" applyBorder="1" applyAlignment="1">
      <alignment horizontal="left" vertical="center" wrapText="1"/>
    </xf>
    <xf numFmtId="0" fontId="18" fillId="11" borderId="55" xfId="0" applyFont="1" applyFill="1" applyBorder="1" applyAlignment="1">
      <alignment horizontal="left" vertical="center" wrapText="1"/>
    </xf>
    <xf numFmtId="0" fontId="18" fillId="11" borderId="0" xfId="0" applyFont="1" applyFill="1" applyAlignment="1">
      <alignment horizontal="left" vertical="center" wrapText="1"/>
    </xf>
    <xf numFmtId="0" fontId="18" fillId="11" borderId="54" xfId="0" applyFont="1" applyFill="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18" fillId="11" borderId="43" xfId="0" applyFont="1" applyFill="1" applyBorder="1" applyAlignment="1">
      <alignment horizontal="left" vertical="top" wrapText="1"/>
    </xf>
    <xf numFmtId="0" fontId="18" fillId="11" borderId="41" xfId="0" applyFont="1" applyFill="1" applyBorder="1" applyAlignment="1">
      <alignment horizontal="left" vertical="top" wrapText="1"/>
    </xf>
    <xf numFmtId="0" fontId="18" fillId="11" borderId="40" xfId="0" applyFont="1" applyFill="1" applyBorder="1" applyAlignment="1">
      <alignment horizontal="left" vertical="top" wrapText="1"/>
    </xf>
    <xf numFmtId="0" fontId="19" fillId="11" borderId="55" xfId="0" applyFont="1" applyFill="1" applyBorder="1" applyAlignment="1">
      <alignment horizontal="left" wrapText="1"/>
    </xf>
    <xf numFmtId="0" fontId="19" fillId="11" borderId="0" xfId="0" applyFont="1" applyFill="1" applyAlignment="1">
      <alignment horizontal="left" wrapText="1"/>
    </xf>
    <xf numFmtId="0" fontId="19" fillId="11" borderId="54" xfId="0" applyFont="1" applyFill="1" applyBorder="1" applyAlignment="1">
      <alignment horizontal="left" wrapText="1"/>
    </xf>
    <xf numFmtId="0" fontId="19" fillId="11" borderId="43" xfId="0" applyFont="1" applyFill="1" applyBorder="1" applyAlignment="1">
      <alignment horizontal="left" wrapText="1"/>
    </xf>
    <xf numFmtId="0" fontId="19" fillId="11" borderId="41" xfId="0" applyFont="1" applyFill="1" applyBorder="1" applyAlignment="1">
      <alignment horizontal="left" wrapText="1"/>
    </xf>
    <xf numFmtId="0" fontId="19" fillId="11" borderId="40" xfId="0" applyFont="1" applyFill="1" applyBorder="1" applyAlignment="1">
      <alignment horizontal="left" wrapText="1"/>
    </xf>
    <xf numFmtId="0" fontId="0" fillId="0" borderId="46" xfId="0" applyBorder="1" applyAlignment="1">
      <alignment horizontal="center"/>
    </xf>
    <xf numFmtId="0" fontId="0" fillId="0" borderId="5" xfId="0" applyBorder="1" applyAlignment="1">
      <alignment horizontal="center"/>
    </xf>
    <xf numFmtId="0" fontId="0" fillId="0" borderId="53" xfId="0" applyBorder="1" applyAlignment="1">
      <alignment horizontal="center"/>
    </xf>
    <xf numFmtId="0" fontId="18" fillId="11" borderId="55" xfId="0" applyFont="1" applyFill="1" applyBorder="1" applyAlignment="1">
      <alignment horizontal="left" vertical="top" wrapText="1"/>
    </xf>
    <xf numFmtId="0" fontId="18" fillId="11" borderId="0" xfId="0" applyFont="1" applyFill="1" applyAlignment="1">
      <alignment horizontal="left" vertical="top" wrapText="1"/>
    </xf>
    <xf numFmtId="0" fontId="18" fillId="11" borderId="54" xfId="0" applyFont="1" applyFill="1" applyBorder="1" applyAlignment="1">
      <alignment horizontal="left" vertical="top" wrapText="1"/>
    </xf>
    <xf numFmtId="0" fontId="0" fillId="0" borderId="0" xfId="0" applyAlignment="1">
      <alignment horizontal="left" vertical="center"/>
    </xf>
    <xf numFmtId="0" fontId="0" fillId="0" borderId="1" xfId="0" applyBorder="1" applyAlignment="1">
      <alignment horizontal="center" vertical="center" wrapText="1"/>
    </xf>
    <xf numFmtId="0" fontId="0" fillId="0" borderId="48" xfId="0" applyBorder="1" applyAlignment="1">
      <alignment horizontal="center" vertical="center" wrapText="1"/>
    </xf>
    <xf numFmtId="0" fontId="0" fillId="0" borderId="6" xfId="0" applyBorder="1" applyAlignment="1">
      <alignment horizontal="center" vertical="center" wrapText="1"/>
    </xf>
    <xf numFmtId="0" fontId="0" fillId="0" borderId="51" xfId="0" applyBorder="1" applyAlignment="1">
      <alignment horizontal="center" vertical="center" wrapText="1"/>
    </xf>
    <xf numFmtId="0" fontId="0" fillId="0" borderId="44" xfId="0" applyBorder="1" applyAlignment="1">
      <alignment horizontal="center" vertical="center" wrapText="1"/>
    </xf>
    <xf numFmtId="0" fontId="0" fillId="0" borderId="39" xfId="0" applyBorder="1" applyAlignment="1">
      <alignment horizontal="center" vertical="center"/>
    </xf>
    <xf numFmtId="0" fontId="0" fillId="0" borderId="85" xfId="0" applyBorder="1" applyAlignment="1">
      <alignment horizontal="center" vertical="center"/>
    </xf>
    <xf numFmtId="0" fontId="0" fillId="0" borderId="30" xfId="0" applyBorder="1" applyAlignment="1">
      <alignment horizontal="center" vertical="center"/>
    </xf>
    <xf numFmtId="0" fontId="0" fillId="0" borderId="48" xfId="0" applyBorder="1" applyAlignment="1">
      <alignment horizontal="center" vertical="center"/>
    </xf>
    <xf numFmtId="0" fontId="0" fillId="0" borderId="50" xfId="0" applyBorder="1" applyAlignment="1">
      <alignment horizontal="center" vertical="center"/>
    </xf>
    <xf numFmtId="0" fontId="0" fillId="0" borderId="6" xfId="0" applyBorder="1" applyAlignment="1">
      <alignment horizontal="center" vertical="center"/>
    </xf>
    <xf numFmtId="0" fontId="0" fillId="0" borderId="50" xfId="0" applyBorder="1" applyAlignment="1">
      <alignment horizontal="center" vertical="center" wrapText="1"/>
    </xf>
    <xf numFmtId="0" fontId="2" fillId="0" borderId="0" xfId="0" applyFont="1" applyAlignment="1">
      <alignment horizontal="center" vertical="center" wrapText="1"/>
    </xf>
    <xf numFmtId="1" fontId="0" fillId="0" borderId="1" xfId="2" applyNumberFormat="1" applyFont="1" applyFill="1" applyAlignment="1" applyProtection="1">
      <alignment horizontal="center"/>
      <protection locked="0"/>
    </xf>
    <xf numFmtId="1" fontId="0" fillId="0" borderId="11" xfId="2" applyNumberFormat="1" applyFont="1" applyFill="1" applyBorder="1" applyAlignment="1" applyProtection="1">
      <alignment horizontal="center"/>
      <protection locked="0"/>
    </xf>
    <xf numFmtId="0" fontId="0" fillId="6" borderId="19" xfId="0" applyFill="1" applyBorder="1" applyAlignment="1">
      <alignment horizontal="left" vertical="center"/>
    </xf>
    <xf numFmtId="0" fontId="0" fillId="6" borderId="20" xfId="0" applyFill="1" applyBorder="1" applyAlignment="1">
      <alignment horizontal="left" vertical="center"/>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6" borderId="20" xfId="0" applyFill="1" applyBorder="1" applyAlignment="1" applyProtection="1">
      <alignment horizontal="left" vertical="top" wrapText="1"/>
      <protection locked="0"/>
    </xf>
    <xf numFmtId="0" fontId="0" fillId="6" borderId="14" xfId="0" applyFill="1" applyBorder="1" applyAlignment="1" applyProtection="1">
      <alignment horizontal="left" vertical="top" wrapText="1"/>
      <protection locked="0"/>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0" xfId="0" applyBorder="1" applyAlignment="1">
      <alignment horizontal="left" vertical="top" wrapText="1"/>
    </xf>
    <xf numFmtId="0" fontId="0" fillId="0" borderId="4" xfId="0" applyBorder="1" applyAlignment="1">
      <alignment horizontal="left" vertical="top" wrapText="1"/>
    </xf>
    <xf numFmtId="0" fontId="0" fillId="0" borderId="18" xfId="0" applyBorder="1" applyAlignment="1">
      <alignment horizontal="left" vertical="top" wrapText="1"/>
    </xf>
    <xf numFmtId="0" fontId="0" fillId="0" borderId="1" xfId="0" applyBorder="1" applyAlignment="1">
      <alignment horizontal="left" vertical="top" wrapText="1"/>
    </xf>
    <xf numFmtId="0" fontId="0" fillId="6" borderId="37" xfId="0" applyFill="1" applyBorder="1" applyAlignment="1" applyProtection="1">
      <alignment horizontal="left" vertical="top" wrapText="1"/>
      <protection locked="0"/>
    </xf>
    <xf numFmtId="0" fontId="0" fillId="6" borderId="27" xfId="0" applyFill="1" applyBorder="1" applyAlignment="1" applyProtection="1">
      <alignment horizontal="left" vertical="top" wrapText="1"/>
      <protection locked="0"/>
    </xf>
    <xf numFmtId="0" fontId="0" fillId="6" borderId="36" xfId="0" applyFill="1" applyBorder="1" applyAlignment="1" applyProtection="1">
      <alignment horizontal="left" vertical="top" wrapText="1"/>
      <protection locked="0"/>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6" fillId="0" borderId="48" xfId="3" applyFill="1" applyBorder="1" applyAlignment="1" applyProtection="1">
      <alignment horizontal="center" vertical="top" wrapText="1"/>
    </xf>
    <xf numFmtId="0" fontId="6" fillId="0" borderId="50" xfId="3" applyFill="1" applyBorder="1" applyAlignment="1" applyProtection="1">
      <alignment horizontal="center" vertical="top" wrapText="1"/>
    </xf>
    <xf numFmtId="49" fontId="6" fillId="0" borderId="46" xfId="3" applyNumberFormat="1" applyFill="1" applyBorder="1" applyAlignment="1" applyProtection="1">
      <alignment horizontal="center" vertical="top" wrapText="1"/>
    </xf>
    <xf numFmtId="49" fontId="6" fillId="0" borderId="55" xfId="3" applyNumberFormat="1" applyFill="1" applyBorder="1" applyAlignment="1" applyProtection="1">
      <alignment horizontal="center" vertical="top" wrapText="1"/>
    </xf>
    <xf numFmtId="0" fontId="0" fillId="0" borderId="18" xfId="0" applyBorder="1" applyAlignment="1">
      <alignment vertical="center"/>
    </xf>
    <xf numFmtId="0" fontId="0" fillId="0" borderId="1"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10" xfId="0" applyBorder="1" applyAlignment="1">
      <alignment horizontal="left" vertical="center" wrapText="1"/>
    </xf>
    <xf numFmtId="0" fontId="0" fillId="0" borderId="4" xfId="0" applyBorder="1" applyAlignment="1">
      <alignment horizontal="left" vertical="center" wrapText="1"/>
    </xf>
    <xf numFmtId="0" fontId="6" fillId="0" borderId="48" xfId="3" applyFill="1" applyBorder="1" applyAlignment="1" applyProtection="1">
      <alignment horizontal="center" vertical="center" wrapText="1"/>
    </xf>
    <xf numFmtId="0" fontId="6" fillId="0" borderId="6" xfId="3" applyFill="1" applyBorder="1" applyAlignment="1" applyProtection="1">
      <alignment horizontal="center" vertical="center" wrapText="1"/>
    </xf>
    <xf numFmtId="0" fontId="6" fillId="0" borderId="2" xfId="3" applyFill="1" applyBorder="1" applyAlignment="1" applyProtection="1">
      <alignment horizontal="center" vertical="center" wrapText="1"/>
    </xf>
    <xf numFmtId="0" fontId="0" fillId="6" borderId="18" xfId="0" applyFill="1" applyBorder="1" applyAlignment="1">
      <alignment vertical="center"/>
    </xf>
    <xf numFmtId="0" fontId="0" fillId="6" borderId="1" xfId="0" applyFill="1" applyBorder="1" applyAlignment="1">
      <alignment vertical="center"/>
    </xf>
    <xf numFmtId="14" fontId="1" fillId="13" borderId="20" xfId="2" applyNumberFormat="1" applyFill="1" applyBorder="1" applyAlignment="1">
      <alignment horizontal="center" vertical="center"/>
    </xf>
    <xf numFmtId="14" fontId="1" fillId="13" borderId="14" xfId="2" applyNumberFormat="1" applyFill="1" applyBorder="1" applyAlignment="1">
      <alignment horizontal="center" vertical="center"/>
    </xf>
    <xf numFmtId="1" fontId="0" fillId="0" borderId="6" xfId="2" applyNumberFormat="1" applyFont="1" applyFill="1" applyBorder="1" applyAlignment="1" applyProtection="1">
      <alignment horizontal="center"/>
      <protection locked="0"/>
    </xf>
    <xf numFmtId="1" fontId="0" fillId="0" borderId="44" xfId="2" applyNumberFormat="1" applyFont="1" applyFill="1" applyBorder="1" applyAlignment="1" applyProtection="1">
      <alignment horizontal="center"/>
      <protection locked="0"/>
    </xf>
    <xf numFmtId="0" fontId="1" fillId="0" borderId="1" xfId="2" applyNumberFormat="1" applyFill="1" applyAlignment="1" applyProtection="1">
      <alignment horizontal="center"/>
      <protection locked="0"/>
    </xf>
    <xf numFmtId="0" fontId="1" fillId="0" borderId="11" xfId="2" applyNumberFormat="1" applyFill="1" applyBorder="1" applyAlignment="1" applyProtection="1">
      <alignment horizontal="center"/>
      <protection locked="0"/>
    </xf>
    <xf numFmtId="1" fontId="1" fillId="0" borderId="1" xfId="2" applyNumberFormat="1" applyFill="1" applyAlignment="1" applyProtection="1">
      <alignment horizontal="center"/>
      <protection locked="0"/>
    </xf>
    <xf numFmtId="1" fontId="1" fillId="0" borderId="11" xfId="2" applyNumberFormat="1" applyFill="1" applyBorder="1" applyAlignment="1" applyProtection="1">
      <alignment horizontal="center"/>
      <protection locked="0"/>
    </xf>
    <xf numFmtId="0" fontId="0" fillId="0" borderId="18" xfId="0" applyBorder="1" applyAlignment="1">
      <alignment vertical="center" wrapText="1"/>
    </xf>
    <xf numFmtId="0" fontId="0" fillId="0" borderId="1" xfId="0" applyBorder="1" applyAlignment="1">
      <alignment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15" borderId="7" xfId="0" applyFont="1" applyFill="1" applyBorder="1" applyAlignment="1">
      <alignment horizontal="center"/>
    </xf>
    <xf numFmtId="0" fontId="2" fillId="15" borderId="8" xfId="0" applyFont="1" applyFill="1" applyBorder="1" applyAlignment="1">
      <alignment horizontal="center"/>
    </xf>
    <xf numFmtId="0" fontId="2" fillId="15" borderId="9" xfId="0" applyFont="1" applyFill="1" applyBorder="1" applyAlignment="1">
      <alignment horizontal="center"/>
    </xf>
    <xf numFmtId="0" fontId="0" fillId="0" borderId="32" xfId="0" applyBorder="1" applyAlignment="1">
      <alignment horizontal="left" vertical="top" wrapText="1"/>
    </xf>
    <xf numFmtId="0" fontId="0" fillId="0" borderId="57" xfId="0" applyBorder="1" applyAlignment="1">
      <alignment horizontal="left" vertical="top" wrapText="1"/>
    </xf>
    <xf numFmtId="0" fontId="2" fillId="17" borderId="15" xfId="0" applyFont="1" applyFill="1" applyBorder="1" applyAlignment="1">
      <alignment horizontal="center"/>
    </xf>
    <xf numFmtId="0" fontId="2" fillId="17" borderId="16" xfId="0" applyFont="1" applyFill="1" applyBorder="1" applyAlignment="1">
      <alignment horizontal="center"/>
    </xf>
    <xf numFmtId="0" fontId="2" fillId="17" borderId="17" xfId="0" applyFont="1" applyFill="1" applyBorder="1" applyAlignment="1">
      <alignment horizontal="center"/>
    </xf>
    <xf numFmtId="0" fontId="0" fillId="0" borderId="18" xfId="0" applyBorder="1" applyAlignment="1">
      <alignment horizontal="left" vertical="center" wrapText="1"/>
    </xf>
    <xf numFmtId="0" fontId="0" fillId="0" borderId="1" xfId="0" applyBorder="1" applyAlignment="1">
      <alignment horizontal="left" vertical="center" wrapText="1"/>
    </xf>
    <xf numFmtId="0" fontId="6" fillId="0" borderId="25" xfId="3" applyFill="1" applyBorder="1" applyAlignment="1" applyProtection="1">
      <alignment horizontal="center" vertical="center"/>
    </xf>
    <xf numFmtId="0" fontId="6" fillId="0" borderId="0" xfId="3" applyFill="1" applyBorder="1" applyAlignment="1" applyProtection="1">
      <alignment horizontal="center" vertical="center"/>
    </xf>
    <xf numFmtId="0" fontId="6" fillId="0" borderId="26" xfId="3" applyFill="1" applyBorder="1" applyAlignment="1" applyProtection="1">
      <alignment horizontal="center" vertical="center"/>
    </xf>
    <xf numFmtId="0" fontId="0" fillId="6" borderId="52" xfId="0" applyFill="1" applyBorder="1" applyAlignment="1">
      <alignment horizontal="left" vertical="center" wrapText="1"/>
    </xf>
    <xf numFmtId="0" fontId="0" fillId="6" borderId="53" xfId="0" applyFill="1" applyBorder="1" applyAlignment="1">
      <alignment horizontal="left" vertical="center" wrapText="1"/>
    </xf>
    <xf numFmtId="0" fontId="0" fillId="6" borderId="25" xfId="0" applyFill="1" applyBorder="1" applyAlignment="1">
      <alignment horizontal="left" vertical="center" wrapText="1"/>
    </xf>
    <xf numFmtId="0" fontId="0" fillId="6" borderId="54" xfId="0" applyFill="1" applyBorder="1" applyAlignment="1">
      <alignment horizontal="left" vertical="center" wrapText="1"/>
    </xf>
    <xf numFmtId="0" fontId="0" fillId="6" borderId="49" xfId="0" applyFill="1" applyBorder="1" applyAlignment="1">
      <alignment horizontal="left" vertical="center" wrapText="1"/>
    </xf>
    <xf numFmtId="0" fontId="0" fillId="6" borderId="40" xfId="0" applyFill="1" applyBorder="1" applyAlignment="1">
      <alignment horizontal="left" vertical="center" wrapText="1"/>
    </xf>
    <xf numFmtId="0" fontId="0" fillId="0" borderId="1" xfId="0" applyBorder="1" applyAlignment="1" applyProtection="1">
      <alignment horizontal="center"/>
      <protection locked="0"/>
    </xf>
    <xf numFmtId="0" fontId="0" fillId="0" borderId="11" xfId="0" applyBorder="1" applyAlignment="1" applyProtection="1">
      <alignment horizontal="center"/>
      <protection locked="0"/>
    </xf>
    <xf numFmtId="2" fontId="0" fillId="7" borderId="20" xfId="2" applyFont="1" applyFill="1" applyBorder="1" applyAlignment="1" applyProtection="1">
      <alignment horizontal="center"/>
      <protection locked="0"/>
    </xf>
    <xf numFmtId="2" fontId="0" fillId="7" borderId="14" xfId="2" applyFont="1" applyFill="1" applyBorder="1" applyAlignment="1" applyProtection="1">
      <alignment horizontal="center"/>
      <protection locked="0"/>
    </xf>
    <xf numFmtId="0" fontId="0" fillId="0" borderId="1" xfId="2" applyNumberFormat="1" applyFont="1" applyFill="1" applyAlignment="1" applyProtection="1">
      <alignment horizontal="center"/>
      <protection locked="0"/>
    </xf>
    <xf numFmtId="0" fontId="0" fillId="0" borderId="11" xfId="2" applyNumberFormat="1" applyFont="1" applyFill="1" applyBorder="1" applyAlignment="1" applyProtection="1">
      <alignment horizontal="center"/>
      <protection locked="0"/>
    </xf>
    <xf numFmtId="0" fontId="2" fillId="12" borderId="7" xfId="0" applyFont="1" applyFill="1" applyBorder="1" applyAlignment="1">
      <alignment horizontal="center" vertical="center"/>
    </xf>
    <xf numFmtId="0" fontId="2" fillId="12" borderId="9" xfId="0" applyFont="1" applyFill="1" applyBorder="1" applyAlignment="1">
      <alignment horizontal="center" vertical="center"/>
    </xf>
    <xf numFmtId="0" fontId="6" fillId="0" borderId="25" xfId="3" applyFill="1" applyBorder="1" applyAlignment="1" applyProtection="1">
      <alignment horizontal="center" vertical="center" wrapText="1"/>
    </xf>
    <xf numFmtId="0" fontId="6" fillId="0" borderId="0" xfId="3" applyFill="1" applyBorder="1" applyAlignment="1" applyProtection="1">
      <alignment horizontal="center" vertical="center" wrapText="1"/>
    </xf>
    <xf numFmtId="0" fontId="6" fillId="0" borderId="26" xfId="3" applyFill="1" applyBorder="1" applyAlignment="1" applyProtection="1">
      <alignment horizontal="center" vertical="center" wrapText="1"/>
    </xf>
    <xf numFmtId="0" fontId="6" fillId="0" borderId="18" xfId="3" applyBorder="1" applyAlignment="1">
      <alignment horizontal="center"/>
    </xf>
    <xf numFmtId="0" fontId="6" fillId="0" borderId="11" xfId="3" applyBorder="1" applyAlignment="1">
      <alignment horizontal="center"/>
    </xf>
    <xf numFmtId="0" fontId="4" fillId="16" borderId="39" xfId="0" applyFont="1" applyFill="1" applyBorder="1" applyAlignment="1">
      <alignment horizontal="left" vertical="center" wrapText="1"/>
    </xf>
    <xf numFmtId="0" fontId="4" fillId="16" borderId="85" xfId="0" applyFont="1" applyFill="1" applyBorder="1" applyAlignment="1">
      <alignment horizontal="left" vertical="center" wrapText="1"/>
    </xf>
    <xf numFmtId="0" fontId="4" fillId="16" borderId="10" xfId="0" applyFont="1" applyFill="1" applyBorder="1" applyAlignment="1">
      <alignment horizontal="left" vertical="center" wrapText="1"/>
    </xf>
    <xf numFmtId="0" fontId="4" fillId="16" borderId="4" xfId="0" applyFont="1" applyFill="1" applyBorder="1" applyAlignment="1">
      <alignment horizontal="left" vertical="center" wrapText="1"/>
    </xf>
    <xf numFmtId="49" fontId="6" fillId="0" borderId="10" xfId="3" applyNumberFormat="1" applyFill="1" applyBorder="1" applyAlignment="1" applyProtection="1">
      <alignment horizontal="center" vertical="center" wrapText="1"/>
    </xf>
    <xf numFmtId="49" fontId="6" fillId="0" borderId="3" xfId="3" applyNumberFormat="1" applyFill="1" applyBorder="1" applyAlignment="1" applyProtection="1">
      <alignment horizontal="center" vertical="center" wrapText="1"/>
    </xf>
    <xf numFmtId="49" fontId="6" fillId="0" borderId="21" xfId="3" applyNumberFormat="1" applyFill="1" applyBorder="1" applyAlignment="1" applyProtection="1">
      <alignment horizontal="center" vertical="center" wrapText="1"/>
    </xf>
    <xf numFmtId="0" fontId="4" fillId="16" borderId="18" xfId="0" applyFont="1" applyFill="1" applyBorder="1" applyAlignment="1">
      <alignment horizontal="left" vertical="center"/>
    </xf>
    <xf numFmtId="0" fontId="4" fillId="16" borderId="1" xfId="0" applyFont="1" applyFill="1" applyBorder="1" applyAlignment="1">
      <alignment horizontal="left" vertical="center"/>
    </xf>
    <xf numFmtId="0" fontId="0" fillId="16"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1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 xfId="0" applyFill="1" applyBorder="1" applyAlignment="1" applyProtection="1">
      <alignment horizontal="left" vertical="center" wrapText="1"/>
      <protection locked="0"/>
    </xf>
    <xf numFmtId="0" fontId="0" fillId="6" borderId="3" xfId="0" applyFill="1" applyBorder="1" applyAlignment="1" applyProtection="1">
      <alignment horizontal="left" vertical="center" wrapText="1"/>
      <protection locked="0"/>
    </xf>
    <xf numFmtId="0" fontId="0" fillId="6" borderId="21" xfId="0" applyFill="1" applyBorder="1" applyAlignment="1" applyProtection="1">
      <alignment horizontal="left" vertical="center" wrapText="1"/>
      <protection locked="0"/>
    </xf>
    <xf numFmtId="0" fontId="0" fillId="6" borderId="37" xfId="0" applyFill="1" applyBorder="1" applyAlignment="1" applyProtection="1">
      <alignment horizontal="left" vertical="center" wrapText="1"/>
      <protection locked="0"/>
    </xf>
    <xf numFmtId="0" fontId="0" fillId="6" borderId="27" xfId="0" applyFill="1" applyBorder="1" applyAlignment="1" applyProtection="1">
      <alignment horizontal="left" vertical="center" wrapText="1"/>
      <protection locked="0"/>
    </xf>
    <xf numFmtId="0" fontId="0" fillId="6" borderId="36" xfId="0" applyFill="1" applyBorder="1" applyAlignment="1" applyProtection="1">
      <alignment horizontal="left" vertical="center" wrapText="1"/>
      <protection locked="0"/>
    </xf>
    <xf numFmtId="0" fontId="0" fillId="0" borderId="0" xfId="0" applyAlignment="1">
      <alignment horizontal="center" vertical="center" wrapText="1"/>
    </xf>
    <xf numFmtId="0" fontId="0" fillId="0" borderId="26" xfId="0" applyBorder="1" applyAlignment="1">
      <alignment horizontal="center" vertical="center" wrapText="1"/>
    </xf>
    <xf numFmtId="0" fontId="0" fillId="0" borderId="0" xfId="0" applyAlignment="1">
      <alignment horizontal="left" vertical="center" wrapText="1"/>
    </xf>
    <xf numFmtId="0" fontId="2" fillId="0" borderId="25" xfId="0" applyFont="1" applyBorder="1" applyAlignment="1">
      <alignment horizontal="center" vertical="center"/>
    </xf>
    <xf numFmtId="0" fontId="6" fillId="0" borderId="48" xfId="3" applyFill="1" applyBorder="1" applyAlignment="1" applyProtection="1">
      <alignment horizontal="center" vertical="center"/>
    </xf>
    <xf numFmtId="0" fontId="6" fillId="0" borderId="50" xfId="3" applyFill="1" applyBorder="1" applyAlignment="1" applyProtection="1">
      <alignment horizontal="center" vertical="center"/>
    </xf>
    <xf numFmtId="0" fontId="6" fillId="0" borderId="6" xfId="3" applyFill="1" applyBorder="1" applyAlignment="1" applyProtection="1">
      <alignment horizontal="center" vertical="center"/>
    </xf>
    <xf numFmtId="0" fontId="6" fillId="0" borderId="51" xfId="3" applyFill="1" applyBorder="1" applyAlignment="1" applyProtection="1">
      <alignment horizontal="center" vertical="center" wrapText="1"/>
    </xf>
    <xf numFmtId="0" fontId="6" fillId="0" borderId="80" xfId="3" applyFill="1" applyBorder="1" applyAlignment="1" applyProtection="1">
      <alignment horizontal="center" vertical="center" wrapText="1"/>
    </xf>
    <xf numFmtId="0" fontId="6" fillId="0" borderId="44" xfId="3" applyFill="1" applyBorder="1" applyAlignment="1" applyProtection="1">
      <alignment horizontal="center" vertical="center" wrapText="1"/>
    </xf>
    <xf numFmtId="0" fontId="0" fillId="0" borderId="39" xfId="0" applyBorder="1" applyAlignment="1">
      <alignment horizontal="left" vertical="center" wrapText="1"/>
    </xf>
    <xf numFmtId="0" fontId="0" fillId="0" borderId="85" xfId="0" applyBorder="1" applyAlignment="1">
      <alignment horizontal="left" vertical="center" wrapText="1"/>
    </xf>
    <xf numFmtId="0" fontId="0" fillId="0" borderId="32" xfId="0" applyBorder="1" applyAlignment="1">
      <alignment horizontal="left" vertical="center" wrapText="1"/>
    </xf>
    <xf numFmtId="0" fontId="4" fillId="16" borderId="2" xfId="0" applyFont="1" applyFill="1" applyBorder="1" applyAlignment="1">
      <alignment horizontal="center" vertical="top" wrapText="1"/>
    </xf>
    <xf numFmtId="0" fontId="4" fillId="16" borderId="3" xfId="0" applyFont="1" applyFill="1" applyBorder="1" applyAlignment="1">
      <alignment horizontal="center" vertical="top" wrapText="1"/>
    </xf>
    <xf numFmtId="0" fontId="4" fillId="16" borderId="4" xfId="0" applyFont="1" applyFill="1" applyBorder="1" applyAlignment="1">
      <alignment horizontal="center" vertical="top" wrapText="1"/>
    </xf>
    <xf numFmtId="0" fontId="0" fillId="16" borderId="2" xfId="0" applyFill="1" applyBorder="1" applyAlignment="1" applyProtection="1">
      <alignment horizontal="center" vertical="top" wrapText="1"/>
      <protection locked="0"/>
    </xf>
    <xf numFmtId="0" fontId="0" fillId="16" borderId="3" xfId="0" applyFill="1" applyBorder="1" applyAlignment="1" applyProtection="1">
      <alignment horizontal="center" vertical="top" wrapText="1"/>
      <protection locked="0"/>
    </xf>
    <xf numFmtId="0" fontId="0" fillId="16" borderId="21" xfId="0" applyFill="1" applyBorder="1" applyAlignment="1" applyProtection="1">
      <alignment horizontal="center" vertical="top" wrapText="1"/>
      <protection locked="0"/>
    </xf>
    <xf numFmtId="2" fontId="0" fillId="6" borderId="18" xfId="0" applyNumberFormat="1" applyFill="1" applyBorder="1" applyAlignment="1" applyProtection="1">
      <alignment horizontal="right"/>
      <protection locked="0"/>
    </xf>
    <xf numFmtId="2" fontId="0" fillId="6" borderId="1" xfId="0" applyNumberFormat="1" applyFill="1" applyBorder="1" applyAlignment="1" applyProtection="1">
      <alignment horizontal="right"/>
      <protection locked="0"/>
    </xf>
    <xf numFmtId="0" fontId="2" fillId="0" borderId="0" xfId="0" applyFont="1" applyAlignment="1">
      <alignment horizontal="center" vertical="center"/>
    </xf>
    <xf numFmtId="2" fontId="0" fillId="13" borderId="19" xfId="0" applyNumberFormat="1" applyFill="1" applyBorder="1" applyAlignment="1">
      <alignment horizontal="right"/>
    </xf>
    <xf numFmtId="2" fontId="0" fillId="13" borderId="20" xfId="0" applyNumberFormat="1" applyFill="1" applyBorder="1" applyAlignment="1">
      <alignment horizontal="right"/>
    </xf>
    <xf numFmtId="0" fontId="23" fillId="16" borderId="3" xfId="0" applyFont="1" applyFill="1" applyBorder="1" applyAlignment="1">
      <alignment horizontal="center" wrapText="1"/>
    </xf>
    <xf numFmtId="0" fontId="10" fillId="16" borderId="18" xfId="3" applyFont="1" applyFill="1" applyBorder="1" applyAlignment="1" applyProtection="1">
      <alignment horizontal="left" vertical="center" wrapText="1"/>
    </xf>
    <xf numFmtId="0" fontId="10" fillId="16" borderId="1" xfId="3" applyFont="1" applyFill="1" applyBorder="1" applyAlignment="1" applyProtection="1">
      <alignment horizontal="left" vertical="center" wrapText="1"/>
    </xf>
    <xf numFmtId="2" fontId="0" fillId="13" borderId="72" xfId="2" applyFont="1" applyFill="1" applyBorder="1" applyAlignment="1">
      <alignment horizontal="center"/>
    </xf>
    <xf numFmtId="2" fontId="0" fillId="13" borderId="16" xfId="2" applyFont="1" applyFill="1" applyBorder="1" applyAlignment="1">
      <alignment horizontal="center"/>
    </xf>
    <xf numFmtId="2" fontId="0" fillId="13" borderId="24" xfId="2" applyFont="1" applyFill="1" applyBorder="1" applyAlignment="1">
      <alignment horizontal="center"/>
    </xf>
    <xf numFmtId="2" fontId="0" fillId="13" borderId="2" xfId="2" applyFont="1" applyFill="1" applyBorder="1" applyAlignment="1">
      <alignment horizontal="center"/>
    </xf>
    <xf numFmtId="2" fontId="0" fillId="13" borderId="3" xfId="2" applyFont="1" applyFill="1" applyBorder="1" applyAlignment="1">
      <alignment horizontal="center"/>
    </xf>
    <xf numFmtId="2" fontId="0" fillId="13" borderId="4" xfId="2" applyFont="1" applyFill="1" applyBorder="1" applyAlignment="1">
      <alignment horizontal="center"/>
    </xf>
    <xf numFmtId="2" fontId="0" fillId="6" borderId="2" xfId="0" applyNumberFormat="1" applyFill="1" applyBorder="1" applyAlignment="1" applyProtection="1">
      <alignment horizontal="right"/>
      <protection locked="0"/>
    </xf>
    <xf numFmtId="2" fontId="0" fillId="6" borderId="3" xfId="0" applyNumberFormat="1" applyFill="1" applyBorder="1" applyAlignment="1" applyProtection="1">
      <alignment horizontal="right"/>
      <protection locked="0"/>
    </xf>
    <xf numFmtId="2" fontId="0" fillId="6" borderId="4" xfId="0" applyNumberFormat="1" applyFill="1" applyBorder="1" applyAlignment="1" applyProtection="1">
      <alignment horizontal="right"/>
      <protection locked="0"/>
    </xf>
    <xf numFmtId="2" fontId="0" fillId="6" borderId="37" xfId="0" applyNumberFormat="1" applyFill="1" applyBorder="1" applyAlignment="1" applyProtection="1">
      <alignment horizontal="right"/>
      <protection locked="0"/>
    </xf>
    <xf numFmtId="2" fontId="0" fillId="6" borderId="27" xfId="0" applyNumberFormat="1" applyFill="1" applyBorder="1" applyAlignment="1" applyProtection="1">
      <alignment horizontal="right"/>
      <protection locked="0"/>
    </xf>
    <xf numFmtId="2" fontId="0" fillId="6" borderId="13" xfId="0" applyNumberFormat="1" applyFill="1" applyBorder="1" applyAlignment="1" applyProtection="1">
      <alignment horizontal="right"/>
      <protection locked="0"/>
    </xf>
    <xf numFmtId="2" fontId="0" fillId="6" borderId="6" xfId="0" applyNumberFormat="1" applyFill="1" applyBorder="1" applyAlignment="1" applyProtection="1">
      <alignment horizontal="right"/>
      <protection locked="0"/>
    </xf>
    <xf numFmtId="0" fontId="0" fillId="6" borderId="1" xfId="0" applyFill="1" applyBorder="1" applyAlignment="1" applyProtection="1">
      <alignment horizontal="center"/>
      <protection locked="0"/>
    </xf>
    <xf numFmtId="0" fontId="0" fillId="6" borderId="48" xfId="0" applyFill="1" applyBorder="1" applyAlignment="1" applyProtection="1">
      <alignment horizontal="center"/>
      <protection locked="0"/>
    </xf>
    <xf numFmtId="2" fontId="0" fillId="6" borderId="21" xfId="0" applyNumberFormat="1" applyFill="1" applyBorder="1" applyAlignment="1" applyProtection="1">
      <alignment horizontal="right"/>
      <protection locked="0"/>
    </xf>
    <xf numFmtId="2" fontId="0" fillId="0" borderId="2" xfId="0" applyNumberFormat="1" applyBorder="1" applyAlignment="1" applyProtection="1">
      <alignment horizontal="right"/>
      <protection locked="0"/>
    </xf>
    <xf numFmtId="2" fontId="0" fillId="0" borderId="3" xfId="0" applyNumberFormat="1" applyBorder="1" applyAlignment="1" applyProtection="1">
      <alignment horizontal="right"/>
      <protection locked="0"/>
    </xf>
    <xf numFmtId="2" fontId="0" fillId="0" borderId="21" xfId="0" applyNumberFormat="1" applyBorder="1" applyAlignment="1" applyProtection="1">
      <alignment horizontal="right"/>
      <protection locked="0"/>
    </xf>
    <xf numFmtId="0" fontId="6" fillId="0" borderId="49" xfId="3" applyFill="1" applyBorder="1" applyAlignment="1" applyProtection="1">
      <alignment horizontal="center" vertical="center" wrapText="1"/>
    </xf>
    <xf numFmtId="0" fontId="6" fillId="0" borderId="56" xfId="3" applyFill="1" applyBorder="1" applyAlignment="1" applyProtection="1">
      <alignment horizontal="center" vertical="center" wrapText="1"/>
    </xf>
    <xf numFmtId="165" fontId="1" fillId="13" borderId="1" xfId="2" applyNumberFormat="1" applyFill="1" applyAlignment="1">
      <alignment horizontal="right"/>
    </xf>
    <xf numFmtId="165" fontId="1" fillId="13" borderId="11" xfId="2" applyNumberFormat="1" applyFill="1" applyBorder="1" applyAlignment="1">
      <alignment horizontal="right"/>
    </xf>
    <xf numFmtId="0" fontId="6" fillId="0" borderId="62" xfId="3" applyFill="1" applyBorder="1" applyAlignment="1" applyProtection="1">
      <alignment horizontal="center" vertical="center"/>
    </xf>
    <xf numFmtId="0" fontId="2" fillId="3" borderId="59" xfId="0" applyFont="1" applyFill="1" applyBorder="1" applyAlignment="1">
      <alignment horizontal="center"/>
    </xf>
    <xf numFmtId="0" fontId="2" fillId="4" borderId="38" xfId="0" applyFont="1" applyFill="1" applyBorder="1" applyAlignment="1">
      <alignment horizontal="center"/>
    </xf>
    <xf numFmtId="0" fontId="2" fillId="4" borderId="67" xfId="0" applyFont="1" applyFill="1" applyBorder="1" applyAlignment="1">
      <alignment horizont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2" fontId="0" fillId="0" borderId="1" xfId="0" applyNumberFormat="1" applyBorder="1" applyAlignment="1" applyProtection="1">
      <alignment horizontal="right"/>
      <protection locked="0"/>
    </xf>
    <xf numFmtId="2" fontId="0" fillId="0" borderId="11" xfId="0" applyNumberFormat="1" applyBorder="1" applyAlignment="1" applyProtection="1">
      <alignment horizontal="right"/>
      <protection locked="0"/>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0" fillId="0" borderId="12" xfId="0" applyBorder="1" applyAlignment="1">
      <alignment horizontal="left"/>
    </xf>
    <xf numFmtId="0" fontId="0" fillId="0" borderId="27" xfId="0" applyBorder="1" applyAlignment="1">
      <alignment horizontal="left"/>
    </xf>
    <xf numFmtId="0" fontId="0" fillId="0" borderId="13" xfId="0" applyBorder="1" applyAlignment="1">
      <alignment horizontal="left"/>
    </xf>
    <xf numFmtId="0" fontId="0" fillId="0" borderId="49" xfId="0" applyBorder="1" applyAlignment="1">
      <alignment horizontal="left"/>
    </xf>
    <xf numFmtId="0" fontId="0" fillId="0" borderId="41" xfId="0" applyBorder="1" applyAlignment="1">
      <alignment horizontal="left"/>
    </xf>
    <xf numFmtId="0" fontId="0" fillId="0" borderId="40" xfId="0" applyBorder="1" applyAlignment="1">
      <alignment horizontal="left"/>
    </xf>
    <xf numFmtId="0" fontId="0" fillId="0" borderId="10" xfId="0" applyBorder="1" applyAlignment="1">
      <alignment horizontal="left"/>
    </xf>
    <xf numFmtId="0" fontId="0" fillId="0" borderId="3" xfId="0" applyBorder="1" applyAlignment="1">
      <alignment horizontal="left"/>
    </xf>
    <xf numFmtId="0" fontId="0" fillId="0" borderId="4" xfId="0" applyBorder="1" applyAlignment="1">
      <alignment horizontal="left"/>
    </xf>
    <xf numFmtId="2" fontId="0" fillId="6" borderId="2" xfId="0" applyNumberFormat="1" applyFill="1" applyBorder="1" applyAlignment="1" applyProtection="1">
      <alignment horizontal="right" vertical="center"/>
      <protection locked="0"/>
    </xf>
    <xf numFmtId="2" fontId="0" fillId="6" borderId="3" xfId="0" applyNumberFormat="1" applyFill="1" applyBorder="1" applyAlignment="1" applyProtection="1">
      <alignment horizontal="right" vertical="center"/>
      <protection locked="0"/>
    </xf>
    <xf numFmtId="2" fontId="0" fillId="6" borderId="4" xfId="0" applyNumberFormat="1" applyFill="1" applyBorder="1" applyAlignment="1" applyProtection="1">
      <alignment horizontal="right" vertical="center"/>
      <protection locked="0"/>
    </xf>
    <xf numFmtId="2" fontId="0" fillId="13" borderId="37" xfId="0" applyNumberFormat="1" applyFill="1" applyBorder="1" applyAlignment="1" applyProtection="1">
      <alignment horizontal="right" vertical="center"/>
      <protection locked="0"/>
    </xf>
    <xf numFmtId="2" fontId="0" fillId="13" borderId="27" xfId="0" applyNumberFormat="1" applyFill="1" applyBorder="1" applyAlignment="1" applyProtection="1">
      <alignment horizontal="right" vertical="center"/>
      <protection locked="0"/>
    </xf>
    <xf numFmtId="2" fontId="0" fillId="13" borderId="13" xfId="0" applyNumberFormat="1" applyFill="1" applyBorder="1" applyAlignment="1" applyProtection="1">
      <alignment horizontal="right" vertical="center"/>
      <protection locked="0"/>
    </xf>
    <xf numFmtId="2" fontId="2" fillId="0" borderId="40" xfId="0" applyNumberFormat="1" applyFont="1" applyBorder="1" applyAlignment="1">
      <alignment horizontal="center" vertical="center"/>
    </xf>
    <xf numFmtId="2" fontId="2" fillId="0" borderId="6" xfId="0" applyNumberFormat="1" applyFont="1" applyBorder="1" applyAlignment="1">
      <alignment horizontal="center" vertical="center"/>
    </xf>
    <xf numFmtId="2" fontId="0" fillId="0" borderId="37" xfId="0" applyNumberFormat="1" applyBorder="1" applyAlignment="1" applyProtection="1">
      <alignment horizontal="right"/>
      <protection locked="0"/>
    </xf>
    <xf numFmtId="2" fontId="0" fillId="0" borderId="27" xfId="0" applyNumberFormat="1" applyBorder="1" applyAlignment="1" applyProtection="1">
      <alignment horizontal="right"/>
      <protection locked="0"/>
    </xf>
    <xf numFmtId="2" fontId="0" fillId="0" borderId="36" xfId="0" applyNumberFormat="1" applyBorder="1" applyAlignment="1" applyProtection="1">
      <alignment horizontal="right"/>
      <protection locked="0"/>
    </xf>
    <xf numFmtId="2" fontId="0" fillId="6" borderId="2" xfId="0" applyNumberFormat="1" applyFill="1" applyBorder="1" applyAlignment="1" applyProtection="1">
      <alignment horizontal="right" wrapText="1"/>
      <protection locked="0"/>
    </xf>
    <xf numFmtId="2" fontId="0" fillId="6" borderId="3" xfId="0" applyNumberFormat="1" applyFill="1" applyBorder="1" applyAlignment="1" applyProtection="1">
      <alignment horizontal="right" wrapText="1"/>
      <protection locked="0"/>
    </xf>
    <xf numFmtId="2" fontId="0" fillId="6" borderId="4" xfId="0" applyNumberFormat="1" applyFill="1" applyBorder="1" applyAlignment="1" applyProtection="1">
      <alignment horizontal="right" wrapText="1"/>
      <protection locked="0"/>
    </xf>
    <xf numFmtId="2" fontId="0" fillId="7" borderId="76" xfId="2" applyFont="1" applyFill="1" applyBorder="1" applyAlignment="1">
      <alignment horizontal="center"/>
    </xf>
    <xf numFmtId="2" fontId="0" fillId="7" borderId="77" xfId="2" applyFont="1" applyFill="1" applyBorder="1" applyAlignment="1">
      <alignment horizontal="center"/>
    </xf>
    <xf numFmtId="0" fontId="6" fillId="0" borderId="12" xfId="3" applyFill="1" applyBorder="1" applyAlignment="1"/>
    <xf numFmtId="0" fontId="6" fillId="0" borderId="27" xfId="3" applyFill="1" applyBorder="1" applyAlignment="1"/>
    <xf numFmtId="0" fontId="6" fillId="0" borderId="13" xfId="3" applyFill="1" applyBorder="1" applyAlignment="1"/>
    <xf numFmtId="0" fontId="4" fillId="7" borderId="81" xfId="0" applyFont="1" applyFill="1" applyBorder="1" applyAlignment="1">
      <alignment horizontal="center"/>
    </xf>
    <xf numFmtId="0" fontId="4" fillId="7" borderId="82" xfId="0" applyFont="1" applyFill="1" applyBorder="1" applyAlignment="1">
      <alignment horizontal="center"/>
    </xf>
    <xf numFmtId="0" fontId="4" fillId="7" borderId="83" xfId="0" applyFont="1" applyFill="1" applyBorder="1" applyAlignment="1">
      <alignment horizontal="center"/>
    </xf>
    <xf numFmtId="0" fontId="4" fillId="16" borderId="7" xfId="0" applyFont="1" applyFill="1" applyBorder="1" applyAlignment="1">
      <alignment horizontal="left" vertical="center"/>
    </xf>
    <xf numFmtId="0" fontId="4" fillId="16" borderId="8" xfId="0" applyFont="1" applyFill="1" applyBorder="1" applyAlignment="1">
      <alignment horizontal="left" vertical="center"/>
    </xf>
    <xf numFmtId="0" fontId="4" fillId="16" borderId="72" xfId="0" applyFont="1" applyFill="1" applyBorder="1" applyAlignment="1">
      <alignment horizontal="left"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13" borderId="48" xfId="2" applyNumberFormat="1" applyFont="1" applyFill="1" applyBorder="1" applyAlignment="1">
      <alignment horizontal="center"/>
    </xf>
    <xf numFmtId="0" fontId="2" fillId="13" borderId="51" xfId="2" applyNumberFormat="1" applyFont="1" applyFill="1" applyBorder="1" applyAlignment="1">
      <alignment horizontal="center"/>
    </xf>
    <xf numFmtId="0" fontId="0" fillId="0" borderId="2" xfId="0" applyBorder="1" applyAlignment="1">
      <alignment horizontal="left" vertical="center" wrapText="1"/>
    </xf>
    <xf numFmtId="0" fontId="0" fillId="0" borderId="37" xfId="0" applyBorder="1" applyAlignment="1">
      <alignment horizontal="left" vertical="center" wrapText="1"/>
    </xf>
    <xf numFmtId="2" fontId="0" fillId="13" borderId="46" xfId="2" applyFont="1" applyFill="1" applyBorder="1" applyAlignment="1">
      <alignment horizontal="center"/>
    </xf>
    <xf numFmtId="2" fontId="0" fillId="13" borderId="5" xfId="2" applyFont="1" applyFill="1" applyBorder="1" applyAlignment="1">
      <alignment horizontal="center"/>
    </xf>
    <xf numFmtId="2" fontId="0" fillId="13" borderId="53" xfId="2" applyFont="1" applyFill="1" applyBorder="1" applyAlignment="1">
      <alignment horizontal="center"/>
    </xf>
    <xf numFmtId="2" fontId="0" fillId="6" borderId="37" xfId="0" applyNumberFormat="1" applyFill="1" applyBorder="1" applyAlignment="1" applyProtection="1">
      <alignment horizontal="right" wrapText="1"/>
      <protection locked="0"/>
    </xf>
    <xf numFmtId="2" fontId="0" fillId="6" borderId="27" xfId="0" applyNumberFormat="1" applyFill="1" applyBorder="1" applyAlignment="1" applyProtection="1">
      <alignment horizontal="right" wrapText="1"/>
      <protection locked="0"/>
    </xf>
    <xf numFmtId="2" fontId="0" fillId="6" borderId="13" xfId="0" applyNumberFormat="1" applyFill="1" applyBorder="1" applyAlignment="1" applyProtection="1">
      <alignment horizontal="right" wrapText="1"/>
      <protection locked="0"/>
    </xf>
    <xf numFmtId="0" fontId="2" fillId="0" borderId="1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18" xfId="0" applyBorder="1" applyAlignment="1" applyProtection="1">
      <alignment horizontal="center"/>
      <protection locked="0"/>
    </xf>
    <xf numFmtId="2" fontId="1" fillId="13" borderId="2" xfId="2" applyFill="1" applyBorder="1" applyAlignment="1">
      <alignment horizontal="center"/>
    </xf>
    <xf numFmtId="2" fontId="1" fillId="13" borderId="3" xfId="2" applyFill="1" applyBorder="1" applyAlignment="1">
      <alignment horizontal="center"/>
    </xf>
    <xf numFmtId="2" fontId="1" fillId="13" borderId="4" xfId="2" applyFill="1" applyBorder="1" applyAlignment="1">
      <alignment horizontal="center"/>
    </xf>
    <xf numFmtId="0" fontId="0" fillId="6" borderId="2" xfId="0" applyFill="1" applyBorder="1" applyAlignment="1" applyProtection="1">
      <alignment horizontal="center"/>
      <protection locked="0"/>
    </xf>
    <xf numFmtId="0" fontId="0" fillId="6" borderId="3" xfId="0" applyFill="1" applyBorder="1" applyAlignment="1" applyProtection="1">
      <alignment horizontal="center"/>
      <protection locked="0"/>
    </xf>
    <xf numFmtId="0" fontId="0" fillId="6" borderId="4" xfId="0" applyFill="1" applyBorder="1" applyAlignment="1" applyProtection="1">
      <alignment horizontal="center"/>
      <protection locked="0"/>
    </xf>
    <xf numFmtId="0" fontId="2" fillId="3" borderId="28" xfId="0" applyFont="1" applyFill="1" applyBorder="1" applyAlignment="1">
      <alignment horizontal="center" vertical="center"/>
    </xf>
    <xf numFmtId="0" fontId="2" fillId="3" borderId="67" xfId="0" applyFont="1" applyFill="1" applyBorder="1" applyAlignment="1">
      <alignment horizontal="center" vertical="center"/>
    </xf>
    <xf numFmtId="0" fontId="6" fillId="0" borderId="64" xfId="3" applyFill="1" applyBorder="1" applyAlignment="1" applyProtection="1">
      <alignment horizontal="center" vertical="center" wrapText="1"/>
    </xf>
    <xf numFmtId="0" fontId="2" fillId="0" borderId="72"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4" xfId="0" applyFont="1" applyBorder="1" applyAlignment="1">
      <alignment horizontal="center" vertical="center" wrapText="1"/>
    </xf>
    <xf numFmtId="2" fontId="0" fillId="6" borderId="72" xfId="0" applyNumberFormat="1" applyFill="1" applyBorder="1" applyAlignment="1" applyProtection="1">
      <alignment horizontal="right" wrapText="1"/>
      <protection locked="0"/>
    </xf>
    <xf numFmtId="2" fontId="0" fillId="6" borderId="16" xfId="0" applyNumberFormat="1" applyFill="1" applyBorder="1" applyAlignment="1" applyProtection="1">
      <alignment horizontal="right" wrapText="1"/>
      <protection locked="0"/>
    </xf>
    <xf numFmtId="2" fontId="0" fillId="6" borderId="24" xfId="0" applyNumberFormat="1" applyFill="1" applyBorder="1" applyAlignment="1" applyProtection="1">
      <alignment horizontal="right" wrapText="1"/>
      <protection locked="0"/>
    </xf>
    <xf numFmtId="2" fontId="0" fillId="13" borderId="14" xfId="0" applyNumberFormat="1" applyFill="1" applyBorder="1" applyAlignment="1">
      <alignment horizontal="right"/>
    </xf>
    <xf numFmtId="2" fontId="0" fillId="13" borderId="1" xfId="0" applyNumberFormat="1" applyFill="1" applyBorder="1" applyAlignment="1">
      <alignment horizontal="right"/>
    </xf>
    <xf numFmtId="0" fontId="0" fillId="0" borderId="19" xfId="0" applyBorder="1" applyAlignment="1">
      <alignment horizontal="left"/>
    </xf>
    <xf numFmtId="0" fontId="0" fillId="0" borderId="20" xfId="0" applyBorder="1" applyAlignment="1">
      <alignment horizontal="left"/>
    </xf>
    <xf numFmtId="0" fontId="0" fillId="0" borderId="18" xfId="0" applyBorder="1" applyAlignment="1">
      <alignment horizontal="left"/>
    </xf>
    <xf numFmtId="0" fontId="0" fillId="0" borderId="1" xfId="0" applyBorder="1" applyAlignment="1">
      <alignment horizontal="left"/>
    </xf>
    <xf numFmtId="0" fontId="0" fillId="6" borderId="1" xfId="0" applyFill="1" applyBorder="1" applyAlignment="1" applyProtection="1">
      <alignment horizontal="center" vertical="center" wrapText="1"/>
      <protection locked="0"/>
    </xf>
    <xf numFmtId="0" fontId="2" fillId="4" borderId="38" xfId="0" applyFont="1" applyFill="1" applyBorder="1" applyAlignment="1">
      <alignment horizontal="center" vertical="center" wrapText="1"/>
    </xf>
    <xf numFmtId="0" fontId="2" fillId="4" borderId="65" xfId="0" applyFont="1" applyFill="1" applyBorder="1" applyAlignment="1">
      <alignment horizontal="center" vertical="center" wrapText="1"/>
    </xf>
    <xf numFmtId="0" fontId="2" fillId="4" borderId="42" xfId="0" applyFont="1" applyFill="1" applyBorder="1" applyAlignment="1">
      <alignment horizontal="center" vertical="center" wrapText="1"/>
    </xf>
    <xf numFmtId="0" fontId="0" fillId="6" borderId="2" xfId="0" applyFill="1" applyBorder="1" applyAlignment="1" applyProtection="1">
      <alignment horizontal="center" vertical="center" wrapText="1"/>
      <protection locked="0"/>
    </xf>
    <xf numFmtId="0" fontId="0" fillId="6" borderId="3" xfId="0" applyFill="1" applyBorder="1" applyAlignment="1" applyProtection="1">
      <alignment horizontal="center" vertical="center" wrapText="1"/>
      <protection locked="0"/>
    </xf>
    <xf numFmtId="0" fontId="0" fillId="6" borderId="21" xfId="0" applyFill="1" applyBorder="1" applyAlignment="1" applyProtection="1">
      <alignment horizontal="center" vertical="center" wrapText="1"/>
      <protection locked="0"/>
    </xf>
    <xf numFmtId="0" fontId="4" fillId="16" borderId="3" xfId="0" applyFont="1" applyFill="1" applyBorder="1" applyAlignment="1">
      <alignment horizontal="left" vertical="center" wrapText="1"/>
    </xf>
    <xf numFmtId="0" fontId="4" fillId="16" borderId="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16" borderId="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16" borderId="2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 xfId="0" applyFill="1" applyBorder="1" applyAlignment="1" applyProtection="1">
      <alignment horizontal="right"/>
      <protection locked="0"/>
    </xf>
    <xf numFmtId="0" fontId="0" fillId="6" borderId="3" xfId="0" applyFill="1" applyBorder="1" applyAlignment="1" applyProtection="1">
      <alignment horizontal="right"/>
      <protection locked="0"/>
    </xf>
    <xf numFmtId="0" fontId="0" fillId="6" borderId="4" xfId="0" applyFill="1" applyBorder="1" applyAlignment="1" applyProtection="1">
      <alignment horizontal="right"/>
      <protection locked="0"/>
    </xf>
    <xf numFmtId="0" fontId="0" fillId="6" borderId="8" xfId="0" applyFill="1" applyBorder="1" applyAlignment="1" applyProtection="1">
      <alignment horizontal="center"/>
      <protection locked="0"/>
    </xf>
    <xf numFmtId="165" fontId="0" fillId="13" borderId="37" xfId="2" applyNumberFormat="1" applyFont="1" applyFill="1" applyBorder="1" applyAlignment="1">
      <alignment horizontal="right"/>
    </xf>
    <xf numFmtId="165" fontId="0" fillId="13" borderId="27" xfId="2" applyNumberFormat="1" applyFont="1" applyFill="1" applyBorder="1" applyAlignment="1">
      <alignment horizontal="right"/>
    </xf>
    <xf numFmtId="165" fontId="0" fillId="13" borderId="36" xfId="2" applyNumberFormat="1" applyFont="1" applyFill="1" applyBorder="1" applyAlignment="1">
      <alignment horizontal="right"/>
    </xf>
    <xf numFmtId="0" fontId="6" fillId="6" borderId="1" xfId="3" applyFill="1" applyBorder="1" applyAlignment="1" applyProtection="1">
      <alignment horizontal="center"/>
      <protection locked="0"/>
    </xf>
    <xf numFmtId="0" fontId="0" fillId="6" borderId="11" xfId="0" applyFill="1" applyBorder="1" applyAlignment="1" applyProtection="1">
      <alignment horizontal="center"/>
      <protection locked="0"/>
    </xf>
    <xf numFmtId="0" fontId="7" fillId="0" borderId="10" xfId="3" applyFont="1" applyBorder="1" applyAlignment="1" applyProtection="1">
      <alignment horizontal="center" vertical="center" wrapText="1"/>
    </xf>
    <xf numFmtId="0" fontId="7" fillId="0" borderId="3" xfId="3" applyFont="1" applyBorder="1" applyAlignment="1" applyProtection="1">
      <alignment horizontal="center" vertical="center" wrapText="1"/>
    </xf>
    <xf numFmtId="0" fontId="7" fillId="0" borderId="21" xfId="3" applyFont="1" applyBorder="1" applyAlignment="1" applyProtection="1">
      <alignment horizontal="center" vertical="center" wrapText="1"/>
    </xf>
    <xf numFmtId="0" fontId="0" fillId="6" borderId="52" xfId="0" applyFill="1" applyBorder="1" applyAlignment="1" applyProtection="1">
      <alignment horizontal="center"/>
      <protection locked="0"/>
    </xf>
    <xf numFmtId="0" fontId="0" fillId="6" borderId="5" xfId="0" applyFill="1" applyBorder="1" applyAlignment="1" applyProtection="1">
      <alignment horizontal="center"/>
      <protection locked="0"/>
    </xf>
    <xf numFmtId="0" fontId="0" fillId="6" borderId="47" xfId="0" applyFill="1" applyBorder="1" applyAlignment="1" applyProtection="1">
      <alignment horizontal="center"/>
      <protection locked="0"/>
    </xf>
    <xf numFmtId="0" fontId="13" fillId="6"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6" borderId="1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4" xfId="0" applyFont="1" applyBorder="1" applyAlignment="1">
      <alignment horizontal="center" vertical="center"/>
    </xf>
    <xf numFmtId="0" fontId="0" fillId="6" borderId="4" xfId="0" applyFill="1" applyBorder="1" applyAlignment="1" applyProtection="1">
      <alignment horizontal="center" vertical="center"/>
      <protection locked="0"/>
    </xf>
    <xf numFmtId="0" fontId="0" fillId="6" borderId="1" xfId="0" applyFill="1" applyBorder="1" applyAlignment="1" applyProtection="1">
      <alignment horizontal="center" vertical="center"/>
      <protection locked="0"/>
    </xf>
    <xf numFmtId="2" fontId="0" fillId="6" borderId="1" xfId="0" applyNumberFormat="1" applyFill="1" applyBorder="1" applyAlignment="1" applyProtection="1">
      <alignment horizontal="right" vertical="center"/>
      <protection locked="0"/>
    </xf>
    <xf numFmtId="0" fontId="6" fillId="0" borderId="8" xfId="3" applyFill="1" applyBorder="1" applyAlignment="1" applyProtection="1">
      <alignment horizontal="center" vertical="center"/>
    </xf>
    <xf numFmtId="0" fontId="0" fillId="16" borderId="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 fillId="0" borderId="48" xfId="0" applyFont="1" applyBorder="1" applyAlignment="1">
      <alignment horizontal="center" vertical="center" wrapText="1"/>
    </xf>
    <xf numFmtId="2" fontId="0" fillId="13" borderId="40" xfId="2" applyFont="1" applyFill="1" applyBorder="1" applyAlignment="1">
      <alignment horizontal="right" vertical="center"/>
    </xf>
    <xf numFmtId="2" fontId="0" fillId="13" borderId="6" xfId="2" applyFont="1" applyFill="1" applyBorder="1" applyAlignment="1">
      <alignment horizontal="right" vertical="center"/>
    </xf>
    <xf numFmtId="2" fontId="0" fillId="13" borderId="27" xfId="2" applyFont="1" applyFill="1" applyBorder="1" applyAlignment="1">
      <alignment horizontal="right" vertical="center"/>
    </xf>
    <xf numFmtId="2" fontId="0" fillId="13" borderId="13" xfId="2" applyFont="1" applyFill="1" applyBorder="1" applyAlignment="1">
      <alignment horizontal="right" vertical="center"/>
    </xf>
    <xf numFmtId="2" fontId="0" fillId="13" borderId="37" xfId="0" applyNumberFormat="1" applyFill="1" applyBorder="1" applyAlignment="1">
      <alignment horizontal="right"/>
    </xf>
    <xf numFmtId="2" fontId="0" fillId="13" borderId="44" xfId="2" applyFont="1" applyFill="1" applyBorder="1" applyAlignment="1">
      <alignment horizontal="right" vertical="center"/>
    </xf>
    <xf numFmtId="2" fontId="0" fillId="13" borderId="37" xfId="2" applyFont="1" applyFill="1" applyBorder="1" applyAlignment="1">
      <alignment horizontal="right" vertical="center"/>
    </xf>
    <xf numFmtId="2" fontId="0" fillId="13" borderId="36" xfId="2" applyFont="1" applyFill="1" applyBorder="1" applyAlignment="1">
      <alignment horizontal="right" vertical="center"/>
    </xf>
    <xf numFmtId="0" fontId="6" fillId="0" borderId="7" xfId="3" applyFill="1" applyBorder="1" applyAlignment="1" applyProtection="1">
      <alignment horizontal="center" vertical="center"/>
    </xf>
    <xf numFmtId="0" fontId="0" fillId="16" borderId="2" xfId="0" applyFill="1" applyBorder="1" applyAlignment="1" applyProtection="1">
      <alignment horizontal="left" vertical="center" wrapText="1"/>
      <protection locked="0"/>
    </xf>
    <xf numFmtId="0" fontId="0" fillId="16" borderId="3" xfId="0" applyFill="1" applyBorder="1" applyAlignment="1" applyProtection="1">
      <alignment horizontal="left" vertical="center" wrapText="1"/>
      <protection locked="0"/>
    </xf>
    <xf numFmtId="0" fontId="0" fillId="16" borderId="21" xfId="0" applyFill="1" applyBorder="1" applyAlignment="1" applyProtection="1">
      <alignment horizontal="left" vertical="center" wrapText="1"/>
      <protection locked="0"/>
    </xf>
    <xf numFmtId="0" fontId="0" fillId="6" borderId="1" xfId="0" applyFill="1" applyBorder="1" applyAlignment="1" applyProtection="1">
      <alignment horizontal="left" vertical="top" wrapText="1"/>
      <protection locked="0"/>
    </xf>
    <xf numFmtId="0" fontId="0" fillId="6" borderId="11" xfId="0" applyFill="1" applyBorder="1" applyAlignment="1" applyProtection="1">
      <alignment horizontal="left" vertical="top" wrapText="1"/>
      <protection locked="0"/>
    </xf>
    <xf numFmtId="0" fontId="0" fillId="6" borderId="19" xfId="0" applyFill="1" applyBorder="1" applyAlignment="1" applyProtection="1">
      <alignment horizontal="left" vertical="top" wrapText="1"/>
      <protection locked="0"/>
    </xf>
    <xf numFmtId="0" fontId="0" fillId="6" borderId="12" xfId="0" applyFill="1" applyBorder="1" applyAlignment="1" applyProtection="1">
      <alignment horizontal="left" vertical="top" wrapText="1"/>
      <protection locked="0"/>
    </xf>
    <xf numFmtId="0" fontId="6" fillId="0" borderId="64" xfId="3" applyFill="1" applyBorder="1" applyAlignment="1" applyProtection="1">
      <alignment horizontal="center" vertical="center"/>
    </xf>
    <xf numFmtId="0" fontId="2" fillId="4" borderId="28" xfId="0" applyFont="1" applyFill="1" applyBorder="1" applyAlignment="1">
      <alignment horizontal="center"/>
    </xf>
    <xf numFmtId="165" fontId="0" fillId="13" borderId="2" xfId="2" applyNumberFormat="1" applyFont="1" applyFill="1" applyBorder="1" applyAlignment="1">
      <alignment horizontal="right"/>
    </xf>
    <xf numFmtId="165" fontId="0" fillId="13" borderId="3" xfId="2" applyNumberFormat="1" applyFont="1" applyFill="1" applyBorder="1" applyAlignment="1">
      <alignment horizontal="right"/>
    </xf>
    <xf numFmtId="165" fontId="0" fillId="13" borderId="21" xfId="2" applyNumberFormat="1" applyFont="1" applyFill="1" applyBorder="1" applyAlignment="1">
      <alignment horizontal="right"/>
    </xf>
    <xf numFmtId="2" fontId="0" fillId="13" borderId="30" xfId="2" applyFont="1" applyFill="1" applyBorder="1" applyAlignment="1">
      <alignment horizontal="right" vertical="center"/>
    </xf>
    <xf numFmtId="2" fontId="0" fillId="13" borderId="12" xfId="2" applyFont="1" applyFill="1" applyBorder="1" applyAlignment="1">
      <alignment horizontal="right" vertical="center"/>
    </xf>
    <xf numFmtId="0" fontId="0" fillId="0" borderId="48" xfId="0" applyBorder="1" applyAlignment="1">
      <alignment horizontal="left" vertical="center" wrapText="1"/>
    </xf>
    <xf numFmtId="165" fontId="0" fillId="13" borderId="48" xfId="2" applyNumberFormat="1" applyFont="1" applyFill="1" applyBorder="1" applyAlignment="1">
      <alignment horizontal="right"/>
    </xf>
    <xf numFmtId="165" fontId="0" fillId="13" borderId="51" xfId="2" applyNumberFormat="1" applyFont="1" applyFill="1" applyBorder="1" applyAlignment="1">
      <alignment horizontal="right"/>
    </xf>
    <xf numFmtId="14" fontId="0" fillId="13" borderId="20" xfId="0" applyNumberFormat="1" applyFill="1" applyBorder="1" applyAlignment="1">
      <alignment horizontal="center" vertical="top" wrapText="1"/>
    </xf>
    <xf numFmtId="14" fontId="0" fillId="13" borderId="14" xfId="0" applyNumberFormat="1" applyFill="1" applyBorder="1" applyAlignment="1">
      <alignment horizontal="center" vertical="top" wrapText="1"/>
    </xf>
    <xf numFmtId="0" fontId="4" fillId="13" borderId="2" xfId="0" applyFont="1" applyFill="1" applyBorder="1" applyAlignment="1">
      <alignment horizontal="center" vertical="center"/>
      <extLst>
        <ext xmlns:xfpb="http://schemas.microsoft.com/office/spreadsheetml/2022/featurepropertybag" uri="{C7286773-470A-42A8-94C5-96B5CB345126}">
          <xfpb:xfComplement i="0"/>
        </ext>
      </extLst>
    </xf>
    <xf numFmtId="0" fontId="4" fillId="13" borderId="3" xfId="0" applyFont="1" applyFill="1" applyBorder="1" applyAlignment="1">
      <alignment horizontal="center" vertical="center"/>
      <extLst>
        <ext xmlns:xfpb="http://schemas.microsoft.com/office/spreadsheetml/2022/featurepropertybag" uri="{C7286773-470A-42A8-94C5-96B5CB345126}">
          <xfpb:xfComplement i="0"/>
        </ext>
      </extLst>
    </xf>
    <xf numFmtId="0" fontId="4" fillId="13" borderId="21"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16" borderId="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16" borderId="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16" borderId="2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48" xfId="0" applyBorder="1" applyAlignment="1" applyProtection="1">
      <alignment vertical="center" wrapText="1"/>
      <protection locked="0"/>
    </xf>
    <xf numFmtId="0" fontId="0" fillId="0" borderId="20" xfId="0" applyBorder="1" applyAlignment="1" applyProtection="1">
      <alignment horizontal="center" vertical="center"/>
      <protection locked="0"/>
    </xf>
    <xf numFmtId="2" fontId="0" fillId="6" borderId="46" xfId="0" applyNumberFormat="1" applyFill="1" applyBorder="1" applyAlignment="1" applyProtection="1">
      <alignment horizontal="right" wrapText="1"/>
      <protection locked="0"/>
    </xf>
    <xf numFmtId="0" fontId="0" fillId="0" borderId="6" xfId="0" applyBorder="1" applyAlignment="1" applyProtection="1">
      <alignment horizontal="center" vertical="center"/>
      <protection locked="0"/>
    </xf>
    <xf numFmtId="0" fontId="2" fillId="3" borderId="72" xfId="0" applyFont="1" applyFill="1" applyBorder="1" applyAlignment="1">
      <alignment horizontal="center" vertical="center"/>
    </xf>
    <xf numFmtId="0" fontId="6" fillId="0" borderId="2" xfId="3" applyFill="1" applyBorder="1" applyAlignment="1" applyProtection="1">
      <alignment horizontal="center" vertical="center"/>
    </xf>
    <xf numFmtId="0" fontId="2" fillId="3" borderId="59" xfId="0" applyFont="1" applyFill="1" applyBorder="1" applyAlignment="1">
      <alignment horizontal="center" vertical="center"/>
    </xf>
    <xf numFmtId="0" fontId="2" fillId="0" borderId="25" xfId="0" applyFont="1" applyBorder="1" applyAlignment="1">
      <alignment horizontal="center" vertical="center" wrapText="1"/>
    </xf>
    <xf numFmtId="2" fontId="2" fillId="0" borderId="0" xfId="0" applyNumberFormat="1" applyFont="1" applyAlignment="1">
      <alignment horizontal="center" vertical="center"/>
    </xf>
    <xf numFmtId="0" fontId="2" fillId="0" borderId="25" xfId="0" applyFont="1" applyBorder="1" applyAlignment="1">
      <alignment horizontal="center"/>
    </xf>
    <xf numFmtId="0" fontId="2" fillId="0" borderId="0" xfId="0" applyFont="1" applyAlignment="1">
      <alignment horizontal="center"/>
    </xf>
    <xf numFmtId="0" fontId="0" fillId="0" borderId="1" xfId="0" applyBorder="1" applyAlignment="1" applyProtection="1">
      <alignment vertical="center" wrapText="1"/>
      <protection locked="0"/>
    </xf>
    <xf numFmtId="0" fontId="0" fillId="0" borderId="20" xfId="0" applyBorder="1" applyAlignment="1" applyProtection="1">
      <alignment vertical="center" wrapText="1"/>
      <protection locked="0"/>
    </xf>
    <xf numFmtId="0" fontId="2" fillId="0" borderId="6" xfId="0" applyFont="1" applyBorder="1" applyAlignment="1">
      <alignment horizontal="center" vertical="center" wrapText="1"/>
    </xf>
    <xf numFmtId="0" fontId="0" fillId="0" borderId="6" xfId="0" applyBorder="1" applyAlignment="1" applyProtection="1">
      <alignment vertical="center" wrapText="1"/>
      <protection locked="0"/>
    </xf>
    <xf numFmtId="0" fontId="2" fillId="0" borderId="6" xfId="0" applyFont="1" applyBorder="1" applyAlignment="1">
      <alignment horizontal="center" vertical="center"/>
    </xf>
    <xf numFmtId="2" fontId="0" fillId="6" borderId="20" xfId="0" applyNumberFormat="1" applyFill="1" applyBorder="1" applyAlignment="1" applyProtection="1">
      <alignment horizontal="right"/>
      <protection locked="0"/>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2" fontId="0" fillId="0" borderId="1" xfId="0" applyNumberFormat="1" applyBorder="1" applyAlignment="1" applyProtection="1">
      <alignment horizontal="right" wrapText="1"/>
      <protection locked="0"/>
    </xf>
    <xf numFmtId="2" fontId="0" fillId="0" borderId="11" xfId="0" applyNumberFormat="1" applyBorder="1" applyAlignment="1" applyProtection="1">
      <alignment horizontal="right" wrapText="1"/>
      <protection locked="0"/>
    </xf>
    <xf numFmtId="2" fontId="0" fillId="13" borderId="11" xfId="0" applyNumberFormat="1" applyFill="1" applyBorder="1" applyAlignment="1">
      <alignment horizontal="right"/>
    </xf>
    <xf numFmtId="0" fontId="0" fillId="13" borderId="3" xfId="0" applyFill="1" applyBorder="1" applyAlignment="1">
      <alignment horizontal="center"/>
    </xf>
    <xf numFmtId="0" fontId="0" fillId="13" borderId="27" xfId="0" applyFill="1" applyBorder="1" applyAlignment="1">
      <alignment horizontal="center"/>
    </xf>
    <xf numFmtId="0" fontId="0" fillId="13" borderId="4" xfId="0" applyFill="1" applyBorder="1" applyAlignment="1">
      <alignment horizontal="center"/>
    </xf>
    <xf numFmtId="0" fontId="2" fillId="0" borderId="20" xfId="0" applyFont="1" applyBorder="1" applyAlignment="1">
      <alignment horizontal="left"/>
    </xf>
    <xf numFmtId="0" fontId="2" fillId="0" borderId="14" xfId="0" applyFont="1" applyBorder="1" applyAlignment="1">
      <alignment horizontal="left"/>
    </xf>
    <xf numFmtId="0" fontId="2" fillId="0" borderId="6" xfId="0" applyFont="1" applyBorder="1" applyAlignment="1">
      <alignment horizontal="left"/>
    </xf>
    <xf numFmtId="0" fontId="2" fillId="0" borderId="44" xfId="0" applyFont="1" applyBorder="1" applyAlignment="1">
      <alignment horizontal="left"/>
    </xf>
    <xf numFmtId="0" fontId="2" fillId="0" borderId="1" xfId="0" applyFont="1" applyBorder="1" applyAlignment="1">
      <alignment horizontal="left"/>
    </xf>
    <xf numFmtId="0" fontId="2" fillId="0" borderId="11" xfId="0" applyFont="1" applyBorder="1" applyAlignment="1">
      <alignment horizontal="left"/>
    </xf>
    <xf numFmtId="0" fontId="0" fillId="13" borderId="16" xfId="0" applyFill="1" applyBorder="1" applyAlignment="1">
      <alignment horizontal="center"/>
    </xf>
    <xf numFmtId="2" fontId="0" fillId="13" borderId="8" xfId="0" applyNumberFormat="1" applyFill="1" applyBorder="1" applyAlignment="1">
      <alignment horizontal="right"/>
    </xf>
    <xf numFmtId="2" fontId="0" fillId="13" borderId="9" xfId="0" applyNumberFormat="1" applyFill="1" applyBorder="1" applyAlignment="1">
      <alignment horizontal="right"/>
    </xf>
    <xf numFmtId="2" fontId="0" fillId="13" borderId="6" xfId="0" applyNumberFormat="1" applyFill="1" applyBorder="1" applyAlignment="1">
      <alignment horizontal="right"/>
    </xf>
    <xf numFmtId="2" fontId="0" fillId="13" borderId="44" xfId="0" applyNumberFormat="1" applyFill="1" applyBorder="1" applyAlignment="1">
      <alignment horizontal="right"/>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0" fillId="13" borderId="13" xfId="0" applyFill="1" applyBorder="1" applyAlignment="1">
      <alignment horizontal="center"/>
    </xf>
    <xf numFmtId="0" fontId="0" fillId="7" borderId="16" xfId="0" applyFill="1" applyBorder="1" applyAlignment="1" applyProtection="1">
      <alignment horizontal="center"/>
      <protection locked="0"/>
    </xf>
    <xf numFmtId="0" fontId="0" fillId="7" borderId="24" xfId="0" applyFill="1" applyBorder="1" applyAlignment="1" applyProtection="1">
      <alignment horizontal="center"/>
      <protection locked="0"/>
    </xf>
    <xf numFmtId="0" fontId="2" fillId="0" borderId="8" xfId="0" applyFont="1" applyBorder="1" applyAlignment="1">
      <alignment horizontal="left"/>
    </xf>
    <xf numFmtId="0" fontId="2" fillId="0" borderId="9" xfId="0" applyFont="1" applyBorder="1" applyAlignment="1">
      <alignment horizontal="left"/>
    </xf>
    <xf numFmtId="2" fontId="0" fillId="0" borderId="20" xfId="0" applyNumberFormat="1" applyBorder="1" applyAlignment="1" applyProtection="1">
      <alignment horizontal="right" wrapText="1"/>
      <protection locked="0"/>
    </xf>
    <xf numFmtId="2" fontId="0" fillId="0" borderId="14" xfId="0" applyNumberFormat="1" applyBorder="1" applyAlignment="1" applyProtection="1">
      <alignment horizontal="right" wrapText="1"/>
      <protection locked="0"/>
    </xf>
    <xf numFmtId="2" fontId="2" fillId="0" borderId="25" xfId="0" applyNumberFormat="1" applyFont="1" applyBorder="1" applyAlignment="1">
      <alignment horizontal="center" vertical="center"/>
    </xf>
    <xf numFmtId="0" fontId="21" fillId="16" borderId="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1" fillId="16" borderId="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1" fillId="16" borderId="2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0" borderId="10" xfId="3" applyFont="1" applyFill="1" applyBorder="1" applyAlignment="1" applyProtection="1">
      <alignment horizontal="center" vertical="center" wrapText="1"/>
    </xf>
    <xf numFmtId="0" fontId="7" fillId="0" borderId="3" xfId="3" applyFont="1" applyFill="1" applyBorder="1" applyAlignment="1" applyProtection="1">
      <alignment horizontal="center" vertical="center" wrapText="1"/>
    </xf>
    <xf numFmtId="0" fontId="7" fillId="0" borderId="21" xfId="3" applyFont="1" applyFill="1" applyBorder="1" applyAlignment="1" applyProtection="1">
      <alignment horizontal="center" vertical="center" wrapText="1"/>
    </xf>
    <xf numFmtId="0" fontId="22" fillId="16" borderId="3" xfId="0" applyFont="1" applyFill="1" applyBorder="1" applyAlignment="1">
      <alignment horizontal="left" vertical="center" wrapText="1"/>
    </xf>
    <xf numFmtId="0" fontId="22" fillId="16" borderId="4" xfId="0" applyFont="1" applyFill="1" applyBorder="1" applyAlignment="1">
      <alignment horizontal="left" vertical="center" wrapText="1"/>
    </xf>
    <xf numFmtId="0" fontId="6" fillId="0" borderId="5" xfId="3" applyFill="1" applyBorder="1" applyAlignment="1">
      <alignment horizontal="center" vertical="center" wrapText="1"/>
    </xf>
    <xf numFmtId="0" fontId="6" fillId="0" borderId="0" xfId="3" applyFill="1" applyBorder="1" applyAlignment="1">
      <alignment horizontal="center" vertical="center" wrapText="1"/>
    </xf>
    <xf numFmtId="0" fontId="6" fillId="0" borderId="41" xfId="3" applyFill="1" applyBorder="1" applyAlignment="1">
      <alignment horizontal="center" vertical="center" wrapText="1"/>
    </xf>
    <xf numFmtId="0" fontId="6" fillId="0" borderId="51" xfId="3" applyFill="1" applyBorder="1" applyAlignment="1">
      <alignment horizontal="center" vertical="center" wrapText="1"/>
    </xf>
    <xf numFmtId="0" fontId="6" fillId="0" borderId="80" xfId="3" applyFill="1" applyBorder="1" applyAlignment="1">
      <alignment horizontal="center" vertical="center" wrapText="1"/>
    </xf>
    <xf numFmtId="0" fontId="6" fillId="0" borderId="44" xfId="3" applyFill="1" applyBorder="1" applyAlignment="1">
      <alignment horizontal="center" vertical="center" wrapText="1"/>
    </xf>
    <xf numFmtId="0" fontId="2" fillId="7" borderId="19" xfId="0" applyFont="1" applyFill="1" applyBorder="1" applyAlignment="1">
      <alignment horizontal="left" vertical="center" wrapText="1"/>
    </xf>
    <xf numFmtId="0" fontId="2" fillId="7" borderId="20" xfId="0" applyFont="1" applyFill="1" applyBorder="1" applyAlignment="1">
      <alignment horizontal="left" vertical="center" wrapText="1"/>
    </xf>
    <xf numFmtId="0" fontId="4" fillId="16" borderId="18" xfId="0" applyFont="1" applyFill="1" applyBorder="1" applyAlignment="1">
      <alignment horizontal="left" vertical="center" wrapText="1"/>
    </xf>
    <xf numFmtId="0" fontId="4" fillId="16" borderId="1" xfId="0" applyFont="1" applyFill="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7" borderId="0" xfId="0" applyFont="1" applyFill="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6" fillId="0" borderId="52" xfId="3" applyFill="1" applyBorder="1" applyAlignment="1">
      <alignment horizontal="center" vertical="center"/>
    </xf>
    <xf numFmtId="0" fontId="6" fillId="0" borderId="5" xfId="3" applyFill="1" applyBorder="1" applyAlignment="1">
      <alignment horizontal="center" vertical="center"/>
    </xf>
    <xf numFmtId="0" fontId="6" fillId="0" borderId="47" xfId="3" applyFill="1" applyBorder="1" applyAlignment="1">
      <alignment horizontal="center" vertical="center"/>
    </xf>
    <xf numFmtId="0" fontId="0" fillId="16" borderId="71" xfId="0" applyFill="1" applyBorder="1" applyAlignment="1">
      <alignment horizontal="center" vertical="center" wrapText="1"/>
    </xf>
    <xf numFmtId="0" fontId="0" fillId="16" borderId="61" xfId="0" applyFill="1" applyBorder="1" applyAlignment="1">
      <alignment horizontal="center" vertical="center" wrapText="1"/>
    </xf>
    <xf numFmtId="0" fontId="0" fillId="16" borderId="74" xfId="0" applyFill="1" applyBorder="1" applyAlignment="1">
      <alignment horizontal="center" vertical="center" wrapText="1"/>
    </xf>
    <xf numFmtId="0" fontId="0" fillId="7" borderId="45" xfId="0" applyFill="1" applyBorder="1" applyAlignment="1">
      <alignment horizontal="left" vertical="center" wrapText="1"/>
    </xf>
    <xf numFmtId="0" fontId="0" fillId="7" borderId="22" xfId="0" applyFill="1" applyBorder="1" applyAlignment="1">
      <alignment horizontal="left" vertical="center" wrapText="1"/>
    </xf>
    <xf numFmtId="0" fontId="0" fillId="7" borderId="60" xfId="0" applyFill="1" applyBorder="1" applyAlignment="1">
      <alignment horizontal="left" vertical="center" wrapText="1"/>
    </xf>
    <xf numFmtId="0" fontId="2" fillId="4" borderId="29" xfId="0" applyFont="1" applyFill="1" applyBorder="1" applyAlignment="1">
      <alignment horizontal="center"/>
    </xf>
    <xf numFmtId="0" fontId="2" fillId="4" borderId="31" xfId="0" applyFont="1" applyFill="1" applyBorder="1" applyAlignment="1">
      <alignment horizontal="center"/>
    </xf>
    <xf numFmtId="0" fontId="2" fillId="4" borderId="7" xfId="0" applyFont="1" applyFill="1" applyBorder="1" applyAlignment="1">
      <alignment horizontal="center"/>
    </xf>
    <xf numFmtId="0" fontId="2" fillId="4" borderId="8" xfId="0" applyFont="1" applyFill="1" applyBorder="1" applyAlignment="1">
      <alignment horizontal="center"/>
    </xf>
    <xf numFmtId="0" fontId="2" fillId="4" borderId="9" xfId="0" applyFont="1" applyFill="1" applyBorder="1" applyAlignment="1">
      <alignment horizontal="center"/>
    </xf>
    <xf numFmtId="0" fontId="6" fillId="0" borderId="10" xfId="3" applyFill="1" applyBorder="1" applyAlignment="1">
      <alignment horizontal="center" vertical="center"/>
    </xf>
    <xf numFmtId="0" fontId="6" fillId="0" borderId="3" xfId="3" applyFill="1" applyBorder="1" applyAlignment="1">
      <alignment horizontal="center" vertical="center"/>
    </xf>
    <xf numFmtId="0" fontId="6" fillId="0" borderId="21" xfId="3" applyFill="1" applyBorder="1" applyAlignment="1">
      <alignment horizontal="center" vertical="center"/>
    </xf>
    <xf numFmtId="0" fontId="6" fillId="0" borderId="52" xfId="3" applyFill="1" applyBorder="1" applyAlignment="1">
      <alignment horizontal="center" vertical="center" wrapText="1"/>
    </xf>
    <xf numFmtId="0" fontId="6" fillId="0" borderId="47" xfId="3" applyFill="1" applyBorder="1" applyAlignment="1">
      <alignment horizontal="center" vertical="center" wrapText="1"/>
    </xf>
    <xf numFmtId="0" fontId="2" fillId="0" borderId="10" xfId="0" applyFont="1" applyBorder="1" applyAlignment="1">
      <alignment horizontal="left" vertical="center"/>
    </xf>
    <xf numFmtId="0" fontId="2" fillId="0" borderId="3" xfId="0" applyFont="1" applyBorder="1" applyAlignment="1">
      <alignment horizontal="left" vertical="center"/>
    </xf>
    <xf numFmtId="0" fontId="2" fillId="0" borderId="21" xfId="0" applyFont="1" applyBorder="1" applyAlignment="1">
      <alignment horizontal="left" vertical="center"/>
    </xf>
    <xf numFmtId="0" fontId="0" fillId="0" borderId="57" xfId="0" applyBorder="1" applyAlignment="1">
      <alignment horizontal="left" vertical="center" wrapText="1"/>
    </xf>
    <xf numFmtId="0" fontId="4" fillId="7" borderId="75" xfId="0" applyFont="1" applyFill="1" applyBorder="1" applyAlignment="1">
      <alignment horizontal="center"/>
    </xf>
    <xf numFmtId="0" fontId="4" fillId="7" borderId="79" xfId="0" applyFont="1" applyFill="1" applyBorder="1" applyAlignment="1">
      <alignment horizontal="center"/>
    </xf>
    <xf numFmtId="0" fontId="0" fillId="16" borderId="25" xfId="0" applyFill="1" applyBorder="1" applyAlignment="1">
      <alignment horizontal="left" vertical="center" wrapText="1" indent="2"/>
    </xf>
    <xf numFmtId="0" fontId="0" fillId="16" borderId="0" xfId="0" applyFill="1" applyAlignment="1">
      <alignment horizontal="left" vertical="center" wrapText="1" indent="2"/>
    </xf>
    <xf numFmtId="0" fontId="0" fillId="16" borderId="54" xfId="0" applyFill="1" applyBorder="1" applyAlignment="1">
      <alignment horizontal="left" vertical="center" wrapText="1" indent="2"/>
    </xf>
    <xf numFmtId="0" fontId="0" fillId="16" borderId="52" xfId="0" applyFill="1" applyBorder="1" applyAlignment="1">
      <alignment horizontal="left" vertical="center" wrapText="1" indent="2"/>
    </xf>
    <xf numFmtId="0" fontId="0" fillId="16" borderId="5" xfId="0" applyFill="1" applyBorder="1" applyAlignment="1">
      <alignment horizontal="left" vertical="center" wrapText="1" indent="2"/>
    </xf>
    <xf numFmtId="0" fontId="0" fillId="16" borderId="53" xfId="0" applyFill="1" applyBorder="1" applyAlignment="1">
      <alignment horizontal="left" vertical="center" wrapText="1" indent="2"/>
    </xf>
    <xf numFmtId="0" fontId="0" fillId="16" borderId="10" xfId="0" applyFill="1" applyBorder="1" applyAlignment="1">
      <alignment horizontal="left" vertical="center" wrapText="1" indent="2"/>
    </xf>
    <xf numFmtId="0" fontId="0" fillId="16" borderId="3" xfId="0" applyFill="1" applyBorder="1" applyAlignment="1">
      <alignment horizontal="left" vertical="center" wrapText="1" indent="2"/>
    </xf>
    <xf numFmtId="0" fontId="0" fillId="16" borderId="4" xfId="0" applyFill="1" applyBorder="1" applyAlignment="1">
      <alignment horizontal="left" vertical="center" wrapText="1" indent="2"/>
    </xf>
    <xf numFmtId="0" fontId="0" fillId="16" borderId="45" xfId="0" applyFill="1" applyBorder="1" applyAlignment="1">
      <alignment horizontal="left" vertical="center" wrapText="1" indent="2"/>
    </xf>
    <xf numFmtId="0" fontId="0" fillId="16" borderId="22" xfId="0" applyFill="1" applyBorder="1" applyAlignment="1">
      <alignment horizontal="left" vertical="center" wrapText="1" indent="2"/>
    </xf>
    <xf numFmtId="0" fontId="0" fillId="16" borderId="60" xfId="0" applyFill="1" applyBorder="1" applyAlignment="1">
      <alignment horizontal="left" vertical="center" wrapText="1" indent="2"/>
    </xf>
    <xf numFmtId="0" fontId="0" fillId="7" borderId="49" xfId="0" applyFill="1" applyBorder="1" applyAlignment="1">
      <alignment horizontal="left" vertical="center" wrapText="1"/>
    </xf>
    <xf numFmtId="0" fontId="0" fillId="7" borderId="41" xfId="0" applyFill="1" applyBorder="1" applyAlignment="1">
      <alignment horizontal="left" vertical="center" wrapText="1"/>
    </xf>
    <xf numFmtId="0" fontId="0" fillId="7" borderId="40" xfId="0" applyFill="1" applyBorder="1" applyAlignment="1">
      <alignment horizontal="left" vertical="center" wrapText="1"/>
    </xf>
    <xf numFmtId="0" fontId="0" fillId="7" borderId="12" xfId="0" applyFill="1" applyBorder="1" applyAlignment="1">
      <alignment horizontal="left" vertical="center" wrapText="1"/>
    </xf>
    <xf numFmtId="0" fontId="0" fillId="7" borderId="27" xfId="0" applyFill="1" applyBorder="1" applyAlignment="1">
      <alignment horizontal="left" vertical="center" wrapText="1"/>
    </xf>
    <xf numFmtId="0" fontId="0" fillId="7" borderId="13" xfId="0" applyFill="1" applyBorder="1" applyAlignment="1">
      <alignment horizontal="left" vertical="center" wrapText="1"/>
    </xf>
  </cellXfs>
  <cellStyles count="4">
    <cellStyle name="Auto-Calculated-Cells" xfId="2" xr:uid="{4E8529B9-507C-4B39-B503-553D51545A9E}"/>
    <cellStyle name="Lien hypertexte" xfId="3" builtinId="8"/>
    <cellStyle name="Normal" xfId="0" builtinId="0"/>
    <cellStyle name="Pourcentage" xfId="1" builtinId="5"/>
  </cellStyles>
  <dxfs count="304">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patternType="solid">
          <bgColor rgb="FFFFFF99"/>
        </patternFill>
      </fill>
    </dxf>
    <dxf>
      <fill>
        <patternFill patternType="none">
          <bgColor auto="1"/>
        </patternFill>
      </fill>
    </dxf>
    <dxf>
      <fill>
        <patternFill patternType="none">
          <bgColor auto="1"/>
        </patternFill>
      </fill>
    </dxf>
    <dxf>
      <fill>
        <patternFill patternType="none">
          <bgColor auto="1"/>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0" tint="-0.14996795556505021"/>
        </patternFill>
      </fill>
    </dxf>
    <dxf>
      <fill>
        <patternFill patternType="none">
          <bgColor auto="1"/>
        </patternFill>
      </fill>
    </dxf>
    <dxf>
      <fill>
        <patternFill>
          <bgColor theme="0"/>
        </patternFill>
      </fill>
    </dxf>
    <dxf>
      <fill>
        <patternFill>
          <bgColor theme="0" tint="-0.14996795556505021"/>
        </patternFill>
      </fill>
    </dxf>
    <dxf>
      <fill>
        <patternFill patternType="none">
          <bgColor auto="1"/>
        </patternFill>
      </fill>
    </dxf>
    <dxf>
      <fill>
        <patternFill patternType="none">
          <bgColor auto="1"/>
        </patternFill>
      </fill>
    </dxf>
    <dxf>
      <fill>
        <patternFill>
          <bgColor theme="0" tint="-0.14996795556505021"/>
        </patternFill>
      </fill>
    </dxf>
    <dxf>
      <fill>
        <patternFill patternType="none">
          <bgColor auto="1"/>
        </patternFill>
      </fill>
    </dxf>
    <dxf>
      <fill>
        <patternFill patternType="none">
          <bgColor auto="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99"/>
        </patternFill>
      </fill>
    </dxf>
    <dxf>
      <fill>
        <patternFill patternType="solid">
          <bgColor rgb="FFFFFF99"/>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fill>
        <patternFill>
          <bgColor rgb="FFFF0000"/>
        </patternFill>
      </fill>
    </dxf>
    <dxf>
      <fill>
        <patternFill>
          <bgColor rgb="FF00B050"/>
        </patternFill>
      </fill>
    </dxf>
    <dxf>
      <fill>
        <patternFill>
          <bgColor rgb="FFFF0000"/>
        </patternFill>
      </fill>
    </dxf>
    <dxf>
      <numFmt numFmtId="164" formatCode=";;;"/>
      <fill>
        <patternFill>
          <bgColor theme="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0" tint="-0.14996795556505021"/>
        </patternFill>
      </fill>
    </dxf>
    <dxf>
      <fill>
        <patternFill patternType="none">
          <bgColor auto="1"/>
        </patternFill>
      </fill>
    </dxf>
    <dxf>
      <numFmt numFmtId="0" formatCode="General"/>
      <fill>
        <patternFill>
          <bgColor theme="0" tint="-0.14996795556505021"/>
        </patternFill>
      </fill>
    </dxf>
    <dxf>
      <fill>
        <patternFill>
          <bgColor theme="8" tint="0.79998168889431442"/>
        </patternFill>
      </fill>
    </dxf>
    <dxf>
      <fill>
        <patternFill>
          <bgColor theme="0" tint="-0.14996795556505021"/>
        </patternFill>
      </fill>
    </dxf>
    <dxf>
      <fill>
        <patternFill patternType="none">
          <bgColor auto="1"/>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numFmt numFmtId="0" formatCode="General"/>
      <fill>
        <patternFill>
          <bgColor theme="2" tint="-9.9948118533890809E-2"/>
        </patternFill>
      </fill>
    </dxf>
    <dxf>
      <fill>
        <patternFill patternType="none">
          <bgColor auto="1"/>
        </patternFill>
      </fill>
    </dxf>
    <dxf>
      <fill>
        <patternFill>
          <bgColor theme="0" tint="-0.14996795556505021"/>
        </patternFill>
      </fill>
    </dxf>
    <dxf>
      <numFmt numFmtId="0" formatCode="General"/>
      <fill>
        <patternFill>
          <bgColor theme="0" tint="-0.14996795556505021"/>
        </patternFill>
      </fill>
    </dxf>
    <dxf>
      <fill>
        <patternFill>
          <bgColor rgb="FFFFFF99"/>
        </patternFill>
      </fill>
    </dxf>
    <dxf>
      <fill>
        <patternFill patternType="none">
          <bgColor auto="1"/>
        </patternFill>
      </fill>
    </dxf>
    <dxf>
      <numFmt numFmtId="0" formatCode="General"/>
      <fill>
        <patternFill>
          <bgColor theme="2" tint="-9.9948118533890809E-2"/>
        </patternFill>
      </fill>
    </dxf>
    <dxf>
      <fill>
        <patternFill patternType="none">
          <bgColor auto="1"/>
        </patternFill>
      </fill>
    </dxf>
    <dxf>
      <fill>
        <patternFill>
          <bgColor theme="0"/>
        </patternFill>
      </fill>
    </dxf>
    <dxf>
      <fill>
        <patternFill patternType="none">
          <bgColor auto="1"/>
        </patternFill>
      </fill>
    </dxf>
    <dxf>
      <fill>
        <patternFill patternType="none">
          <bgColor auto="1"/>
        </patternFill>
      </fill>
    </dxf>
    <dxf>
      <fill>
        <patternFill>
          <bgColor rgb="FFFF0000"/>
        </patternFill>
      </fill>
    </dxf>
    <dxf>
      <fill>
        <patternFill>
          <bgColor rgb="FF00B050"/>
        </patternFill>
      </fill>
    </dxf>
    <dxf>
      <fill>
        <patternFill>
          <bgColor rgb="FFFF0000"/>
        </patternFill>
      </fill>
    </dxf>
    <dxf>
      <fill>
        <patternFill patternType="none">
          <bgColor auto="1"/>
        </patternFill>
      </fill>
    </dxf>
    <dxf>
      <fill>
        <patternFill patternType="none">
          <bgColor auto="1"/>
        </patternFill>
      </fill>
    </dxf>
    <dxf>
      <fill>
        <patternFill>
          <bgColor rgb="FF00B050"/>
        </patternFill>
      </fill>
    </dxf>
    <dxf>
      <fill>
        <patternFill>
          <bgColor rgb="FFFF0000"/>
        </patternFill>
      </fill>
    </dxf>
    <dxf>
      <fill>
        <patternFill>
          <bgColor rgb="FF00B050"/>
        </patternFill>
      </fill>
    </dxf>
    <dxf>
      <fill>
        <patternFill>
          <bgColor rgb="FFFF0000"/>
        </patternFill>
      </fill>
    </dxf>
    <dxf>
      <numFmt numFmtId="0" formatCode="General"/>
      <fill>
        <patternFill>
          <bgColor theme="0" tint="-0.14996795556505021"/>
        </patternFill>
      </fill>
    </dxf>
    <dxf>
      <numFmt numFmtId="0" formatCode="General"/>
      <fill>
        <patternFill>
          <bgColor theme="0" tint="-0.1499679555650502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ont>
        <b/>
        <i val="0"/>
      </font>
      <fill>
        <patternFill>
          <bgColor rgb="FFFF0000"/>
        </patternFill>
      </fill>
    </dxf>
    <dxf>
      <font>
        <b/>
        <i val="0"/>
      </font>
      <fill>
        <patternFill>
          <bgColor rgb="FFFF0000"/>
        </patternFill>
      </fill>
    </dxf>
    <dxf>
      <fill>
        <patternFill patternType="none">
          <bgColor auto="1"/>
        </patternFill>
      </fill>
    </dxf>
    <dxf>
      <fill>
        <patternFill>
          <bgColor theme="0" tint="-0.14996795556505021"/>
        </patternFill>
      </fill>
    </dxf>
    <dxf>
      <numFmt numFmtId="0" formatCode="General"/>
      <fill>
        <patternFill>
          <bgColor theme="0" tint="-0.14996795556505021"/>
        </patternFill>
      </fill>
    </dxf>
    <dxf>
      <fill>
        <patternFill>
          <bgColor rgb="FFFFFF99"/>
        </patternFill>
      </fill>
    </dxf>
    <dxf>
      <fill>
        <patternFill patternType="none">
          <bgColor auto="1"/>
        </patternFill>
      </fill>
    </dxf>
    <dxf>
      <fill>
        <patternFill patternType="none">
          <bgColor auto="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numFmt numFmtId="0" formatCode="General"/>
      <fill>
        <patternFill>
          <bgColor theme="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patternType="none">
          <bgColor auto="1"/>
        </patternFill>
      </fill>
    </dxf>
    <dxf>
      <fill>
        <patternFill patternType="none">
          <bgColor auto="1"/>
        </patternFill>
      </fill>
    </dxf>
    <dxf>
      <fill>
        <patternFill patternType="none">
          <bgColor auto="1"/>
        </patternFill>
      </fill>
    </dxf>
    <dxf>
      <fill>
        <patternFill>
          <bgColor rgb="FF00B050"/>
        </patternFill>
      </fill>
    </dxf>
    <dxf>
      <fill>
        <patternFill patternType="none">
          <bgColor auto="1"/>
        </patternFill>
      </fill>
    </dxf>
    <dxf>
      <fill>
        <patternFill>
          <bgColor theme="0"/>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bgColor theme="0"/>
        </patternFill>
      </fill>
    </dxf>
    <dxf>
      <fill>
        <patternFill patternType="none">
          <bgColor auto="1"/>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s>
  <tableStyles count="0" defaultTableStyle="TableStyleMedium2" defaultPivotStyle="PivotStyleLight16"/>
  <colors>
    <mruColors>
      <color rgb="FFFFFF99"/>
      <color rgb="FFB5E6A2"/>
      <color rgb="FFE97132"/>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8" Type="http://schemas.openxmlformats.org/officeDocument/2006/relationships/hyperlink" Target="https://xbrl.efrag.org/convert/" TargetMode="External"/><Relationship Id="rId3" Type="http://schemas.openxmlformats.org/officeDocument/2006/relationships/image" Target="../media/image3.png"/><Relationship Id="rId7" Type="http://schemas.openxmlformats.org/officeDocument/2006/relationships/hyperlink" Target="https://github.com/EFRAG-EU/Digital-Template-to-XBRL-Converter/issues" TargetMode="Externa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https://finance.ec.europa.eu/publications/commission-presents-voluntary-sustainability-reporting-standard-ease-burden-smes_en" TargetMode="External"/><Relationship Id="rId5" Type="http://schemas.openxmlformats.org/officeDocument/2006/relationships/hyperlink" Target="#Licence!A1"/><Relationship Id="rId4" Type="http://schemas.openxmlformats.org/officeDocument/2006/relationships/hyperlink" Target="https://www.efrag.org/sites/default/files/sites/webpublishing/SiteAssets/VSME%20Standard.pdf"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Environmental Disclosures'!A1"/><Relationship Id="rId7" Type="http://schemas.openxmlformats.org/officeDocument/2006/relationships/hyperlink" Target="#'Table of Contents &amp; Validation'!A1"/><Relationship Id="rId2" Type="http://schemas.openxmlformats.org/officeDocument/2006/relationships/hyperlink" Target="https://osmfoundation.org/wiki/Privacy_Policy#Personal_data_we_receive_automatically" TargetMode="External"/><Relationship Id="rId1" Type="http://schemas.openxmlformats.org/officeDocument/2006/relationships/hyperlink" Target="https://operations.osmfoundation.org/policies/nominatim/" TargetMode="External"/><Relationship Id="rId6" Type="http://schemas.openxmlformats.org/officeDocument/2006/relationships/hyperlink" Target="#Introduction!A1"/><Relationship Id="rId5" Type="http://schemas.openxmlformats.org/officeDocument/2006/relationships/hyperlink" Target="#'Governance Disclosures'!A1"/><Relationship Id="rId4" Type="http://schemas.openxmlformats.org/officeDocument/2006/relationships/hyperlink" Target="#'Social Disclosures'!A1"/></Relationships>
</file>

<file path=xl/drawings/_rels/drawing3.xml.rels><?xml version="1.0" encoding="UTF-8" standalone="yes"?>
<Relationships xmlns="http://schemas.openxmlformats.org/package/2006/relationships"><Relationship Id="rId3" Type="http://schemas.openxmlformats.org/officeDocument/2006/relationships/hyperlink" Target="#'Governance Disclosures'!A1"/><Relationship Id="rId2" Type="http://schemas.openxmlformats.org/officeDocument/2006/relationships/hyperlink" Target="#'Social Disclosures'!A1"/><Relationship Id="rId1" Type="http://schemas.openxmlformats.org/officeDocument/2006/relationships/hyperlink" Target="https://www.efrag.org/en/smes-and-sustainability-reporting" TargetMode="External"/><Relationship Id="rId6" Type="http://schemas.openxmlformats.org/officeDocument/2006/relationships/hyperlink" Target="#'General Information'!A1"/><Relationship Id="rId5" Type="http://schemas.openxmlformats.org/officeDocument/2006/relationships/hyperlink" Target="#'Table of Contents &amp; Validation'!A1"/><Relationship Id="rId4" Type="http://schemas.openxmlformats.org/officeDocument/2006/relationships/hyperlink" Target="#Introduction!A1"/></Relationships>
</file>

<file path=xl/drawings/_rels/drawing4.xml.rels><?xml version="1.0" encoding="UTF-8" standalone="yes"?>
<Relationships xmlns="http://schemas.openxmlformats.org/package/2006/relationships"><Relationship Id="rId3" Type="http://schemas.openxmlformats.org/officeDocument/2006/relationships/hyperlink" Target="#'Table of Contents &amp; Validation'!A1"/><Relationship Id="rId2" Type="http://schemas.openxmlformats.org/officeDocument/2006/relationships/hyperlink" Target="#Introduction!A1"/><Relationship Id="rId1" Type="http://schemas.openxmlformats.org/officeDocument/2006/relationships/hyperlink" Target="#'Governance Disclosures'!A1"/><Relationship Id="rId5" Type="http://schemas.openxmlformats.org/officeDocument/2006/relationships/hyperlink" Target="#'Environmental Disclosures'!A1"/><Relationship Id="rId4" Type="http://schemas.openxmlformats.org/officeDocument/2006/relationships/hyperlink" Target="#'General Information'!A1"/></Relationships>
</file>

<file path=xl/drawings/_rels/drawing5.xml.rels><?xml version="1.0" encoding="UTF-8" standalone="yes"?>
<Relationships xmlns="http://schemas.openxmlformats.org/package/2006/relationships"><Relationship Id="rId3" Type="http://schemas.openxmlformats.org/officeDocument/2006/relationships/hyperlink" Target="#'General Information'!A1"/><Relationship Id="rId2" Type="http://schemas.openxmlformats.org/officeDocument/2006/relationships/hyperlink" Target="#'Table of Contents &amp; Validation'!A1"/><Relationship Id="rId1" Type="http://schemas.openxmlformats.org/officeDocument/2006/relationships/hyperlink" Target="#Introduction!A1"/><Relationship Id="rId5" Type="http://schemas.openxmlformats.org/officeDocument/2006/relationships/hyperlink" Target="#'Social Disclosures'!A1"/><Relationship Id="rId4" Type="http://schemas.openxmlformats.org/officeDocument/2006/relationships/hyperlink" Target="#'Environmental Disclosures'!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101601</xdr:rowOff>
    </xdr:from>
    <xdr:to>
      <xdr:col>2</xdr:col>
      <xdr:colOff>896135</xdr:colOff>
      <xdr:row>8</xdr:row>
      <xdr:rowOff>120650</xdr:rowOff>
    </xdr:to>
    <xdr:pic>
      <xdr:nvPicPr>
        <xdr:cNvPr id="3" name="Picture 1">
          <a:extLst>
            <a:ext uri="{FF2B5EF4-FFF2-40B4-BE49-F238E27FC236}">
              <a16:creationId xmlns:a16="http://schemas.microsoft.com/office/drawing/2014/main" id="{EE744A18-9278-F28C-CE93-223066AEF5D9}"/>
            </a:ext>
          </a:extLst>
        </xdr:cNvPr>
        <xdr:cNvPicPr>
          <a:picLocks noChangeAspect="1"/>
        </xdr:cNvPicPr>
      </xdr:nvPicPr>
      <xdr:blipFill>
        <a:blip xmlns:r="http://schemas.openxmlformats.org/officeDocument/2006/relationships" r:embed="rId1"/>
        <a:stretch>
          <a:fillRect/>
        </a:stretch>
      </xdr:blipFill>
      <xdr:spPr>
        <a:xfrm>
          <a:off x="406400" y="457201"/>
          <a:ext cx="4716295" cy="904874"/>
        </a:xfrm>
        <a:prstGeom prst="rect">
          <a:avLst/>
        </a:prstGeom>
      </xdr:spPr>
    </xdr:pic>
    <xdr:clientData/>
  </xdr:twoCellAnchor>
  <xdr:twoCellAnchor editAs="oneCell">
    <xdr:from>
      <xdr:col>1</xdr:col>
      <xdr:colOff>6551</xdr:colOff>
      <xdr:row>40</xdr:row>
      <xdr:rowOff>158162</xdr:rowOff>
    </xdr:from>
    <xdr:to>
      <xdr:col>1</xdr:col>
      <xdr:colOff>627581</xdr:colOff>
      <xdr:row>42</xdr:row>
      <xdr:rowOff>189813</xdr:rowOff>
    </xdr:to>
    <xdr:pic>
      <xdr:nvPicPr>
        <xdr:cNvPr id="13" name="Picture 1" descr="A flag with stars in the center&#10;&#10;Description automatically generated">
          <a:extLst>
            <a:ext uri="{FF2B5EF4-FFF2-40B4-BE49-F238E27FC236}">
              <a16:creationId xmlns:a16="http://schemas.microsoft.com/office/drawing/2014/main" id="{B2281DFB-0536-4402-89EF-0BEDD49B19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8372" y="19575555"/>
          <a:ext cx="628650" cy="391696"/>
        </a:xfrm>
        <a:prstGeom prst="rect">
          <a:avLst/>
        </a:prstGeom>
      </xdr:spPr>
    </xdr:pic>
    <xdr:clientData/>
  </xdr:twoCellAnchor>
  <xdr:twoCellAnchor editAs="oneCell">
    <xdr:from>
      <xdr:col>1</xdr:col>
      <xdr:colOff>1809750</xdr:colOff>
      <xdr:row>36</xdr:row>
      <xdr:rowOff>47625</xdr:rowOff>
    </xdr:from>
    <xdr:to>
      <xdr:col>1</xdr:col>
      <xdr:colOff>2421976</xdr:colOff>
      <xdr:row>36</xdr:row>
      <xdr:rowOff>515049</xdr:rowOff>
    </xdr:to>
    <xdr:pic>
      <xdr:nvPicPr>
        <xdr:cNvPr id="7" name="Picture 1">
          <a:extLst>
            <a:ext uri="{FF2B5EF4-FFF2-40B4-BE49-F238E27FC236}">
              <a16:creationId xmlns:a16="http://schemas.microsoft.com/office/drawing/2014/main" id="{FAC21AA4-78C9-7CCC-3AF3-0C14CAFC6FC9}"/>
            </a:ext>
          </a:extLst>
        </xdr:cNvPr>
        <xdr:cNvPicPr>
          <a:picLocks noChangeAspect="1"/>
        </xdr:cNvPicPr>
      </xdr:nvPicPr>
      <xdr:blipFill>
        <a:blip xmlns:r="http://schemas.openxmlformats.org/officeDocument/2006/relationships" r:embed="rId3"/>
        <a:stretch>
          <a:fillRect/>
        </a:stretch>
      </xdr:blipFill>
      <xdr:spPr>
        <a:xfrm>
          <a:off x="2206625" y="11223625"/>
          <a:ext cx="619211" cy="457264"/>
        </a:xfrm>
        <a:prstGeom prst="rect">
          <a:avLst/>
        </a:prstGeom>
      </xdr:spPr>
    </xdr:pic>
    <xdr:clientData/>
  </xdr:twoCellAnchor>
  <xdr:twoCellAnchor>
    <xdr:from>
      <xdr:col>4</xdr:col>
      <xdr:colOff>1619250</xdr:colOff>
      <xdr:row>14</xdr:row>
      <xdr:rowOff>111125</xdr:rowOff>
    </xdr:from>
    <xdr:to>
      <xdr:col>5</xdr:col>
      <xdr:colOff>952500</xdr:colOff>
      <xdr:row>14</xdr:row>
      <xdr:rowOff>396875</xdr:rowOff>
    </xdr:to>
    <xdr:sp macro="" textlink="">
      <xdr:nvSpPr>
        <xdr:cNvPr id="4" name="Rectangle 3">
          <a:hlinkClick xmlns:r="http://schemas.openxmlformats.org/officeDocument/2006/relationships" r:id="rId4"/>
          <a:extLst>
            <a:ext uri="{FF2B5EF4-FFF2-40B4-BE49-F238E27FC236}">
              <a16:creationId xmlns:a16="http://schemas.microsoft.com/office/drawing/2014/main" id="{D363C8B0-1A23-844C-E436-469E998EC547}"/>
            </a:ext>
          </a:extLst>
        </xdr:cNvPr>
        <xdr:cNvSpPr/>
      </xdr:nvSpPr>
      <xdr:spPr>
        <a:xfrm>
          <a:off x="14462125" y="2476500"/>
          <a:ext cx="1635125"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5</xdr:col>
      <xdr:colOff>2841625</xdr:colOff>
      <xdr:row>14</xdr:row>
      <xdr:rowOff>3984625</xdr:rowOff>
    </xdr:from>
    <xdr:to>
      <xdr:col>6</xdr:col>
      <xdr:colOff>1238250</xdr:colOff>
      <xdr:row>14</xdr:row>
      <xdr:rowOff>4270375</xdr:rowOff>
    </xdr:to>
    <xdr:sp macro="" textlink="">
      <xdr:nvSpPr>
        <xdr:cNvPr id="5" name="Rectangle 4">
          <a:hlinkClick xmlns:r="http://schemas.openxmlformats.org/officeDocument/2006/relationships" r:id="rId5"/>
          <a:extLst>
            <a:ext uri="{FF2B5EF4-FFF2-40B4-BE49-F238E27FC236}">
              <a16:creationId xmlns:a16="http://schemas.microsoft.com/office/drawing/2014/main" id="{5A054C28-8550-3AA9-5D05-8D1B733171A0}"/>
            </a:ext>
          </a:extLst>
        </xdr:cNvPr>
        <xdr:cNvSpPr/>
      </xdr:nvSpPr>
      <xdr:spPr>
        <a:xfrm>
          <a:off x="17986375" y="6350000"/>
          <a:ext cx="1301750"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3</xdr:col>
      <xdr:colOff>3024079</xdr:colOff>
      <xdr:row>14</xdr:row>
      <xdr:rowOff>128861</xdr:rowOff>
    </xdr:from>
    <xdr:to>
      <xdr:col>4</xdr:col>
      <xdr:colOff>133685</xdr:colOff>
      <xdr:row>14</xdr:row>
      <xdr:rowOff>384342</xdr:rowOff>
    </xdr:to>
    <xdr:sp macro="" textlink="">
      <xdr:nvSpPr>
        <xdr:cNvPr id="2" name="Rectangle 1">
          <a:hlinkClick xmlns:r="http://schemas.openxmlformats.org/officeDocument/2006/relationships" r:id="rId6"/>
          <a:extLst>
            <a:ext uri="{FF2B5EF4-FFF2-40B4-BE49-F238E27FC236}">
              <a16:creationId xmlns:a16="http://schemas.microsoft.com/office/drawing/2014/main" id="{16B5C088-64AA-B68A-75C3-AC7A29FD2933}"/>
            </a:ext>
          </a:extLst>
        </xdr:cNvPr>
        <xdr:cNvSpPr/>
      </xdr:nvSpPr>
      <xdr:spPr>
        <a:xfrm>
          <a:off x="11270724" y="3128400"/>
          <a:ext cx="1955658" cy="2554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1</xdr:col>
      <xdr:colOff>3167743</xdr:colOff>
      <xdr:row>14</xdr:row>
      <xdr:rowOff>3853543</xdr:rowOff>
    </xdr:from>
    <xdr:to>
      <xdr:col>2</xdr:col>
      <xdr:colOff>359229</xdr:colOff>
      <xdr:row>15</xdr:row>
      <xdr:rowOff>0</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5DA8BDE8-DFBE-01BD-5268-5269918EC771}"/>
            </a:ext>
          </a:extLst>
        </xdr:cNvPr>
        <xdr:cNvSpPr/>
      </xdr:nvSpPr>
      <xdr:spPr>
        <a:xfrm>
          <a:off x="3581400" y="6324600"/>
          <a:ext cx="1034143" cy="2721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3</xdr:col>
      <xdr:colOff>3250196</xdr:colOff>
      <xdr:row>14</xdr:row>
      <xdr:rowOff>4135855</xdr:rowOff>
    </xdr:from>
    <xdr:to>
      <xdr:col>4</xdr:col>
      <xdr:colOff>359802</xdr:colOff>
      <xdr:row>14</xdr:row>
      <xdr:rowOff>4391336</xdr:rowOff>
    </xdr:to>
    <xdr:sp macro="" textlink="">
      <xdr:nvSpPr>
        <xdr:cNvPr id="6" name="Rectangle 5">
          <a:hlinkClick xmlns:r="http://schemas.openxmlformats.org/officeDocument/2006/relationships" r:id="rId7"/>
          <a:extLst>
            <a:ext uri="{FF2B5EF4-FFF2-40B4-BE49-F238E27FC236}">
              <a16:creationId xmlns:a16="http://schemas.microsoft.com/office/drawing/2014/main" id="{92047DF3-52C0-4431-AF32-361AC294F73A}"/>
            </a:ext>
          </a:extLst>
        </xdr:cNvPr>
        <xdr:cNvSpPr/>
      </xdr:nvSpPr>
      <xdr:spPr>
        <a:xfrm>
          <a:off x="11496841" y="7135394"/>
          <a:ext cx="1955658" cy="2554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2</xdr:col>
      <xdr:colOff>1422399</xdr:colOff>
      <xdr:row>14</xdr:row>
      <xdr:rowOff>1455821</xdr:rowOff>
    </xdr:from>
    <xdr:to>
      <xdr:col>3</xdr:col>
      <xdr:colOff>342566</xdr:colOff>
      <xdr:row>14</xdr:row>
      <xdr:rowOff>1746250</xdr:rowOff>
    </xdr:to>
    <xdr:sp macro="" textlink="">
      <xdr:nvSpPr>
        <xdr:cNvPr id="9" name="Rectangle 8">
          <a:hlinkClick xmlns:r="http://schemas.openxmlformats.org/officeDocument/2006/relationships" r:id="rId8"/>
          <a:extLst>
            <a:ext uri="{FF2B5EF4-FFF2-40B4-BE49-F238E27FC236}">
              <a16:creationId xmlns:a16="http://schemas.microsoft.com/office/drawing/2014/main" id="{FD3D0CA1-935F-4D15-B066-EA5F030DB1D2}"/>
            </a:ext>
          </a:extLst>
        </xdr:cNvPr>
        <xdr:cNvSpPr/>
      </xdr:nvSpPr>
      <xdr:spPr>
        <a:xfrm>
          <a:off x="5750425" y="4455360"/>
          <a:ext cx="2838786" cy="29042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19050</xdr:colOff>
      <xdr:row>105</xdr:row>
      <xdr:rowOff>1025237</xdr:rowOff>
    </xdr:from>
    <xdr:to>
      <xdr:col>7</xdr:col>
      <xdr:colOff>2628900</xdr:colOff>
      <xdr:row>105</xdr:row>
      <xdr:rowOff>1215737</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AA8989A-7C57-462C-8649-46BDC612C39A}"/>
            </a:ext>
          </a:extLst>
        </xdr:cNvPr>
        <xdr:cNvSpPr/>
      </xdr:nvSpPr>
      <xdr:spPr>
        <a:xfrm>
          <a:off x="11336482" y="15806305"/>
          <a:ext cx="260985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58362</xdr:colOff>
      <xdr:row>105</xdr:row>
      <xdr:rowOff>989215</xdr:rowOff>
    </xdr:from>
    <xdr:to>
      <xdr:col>7</xdr:col>
      <xdr:colOff>2724150</xdr:colOff>
      <xdr:row>106</xdr:row>
      <xdr:rowOff>333375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381497CC-CEB7-47E2-AF4C-81EAAA116533}"/>
            </a:ext>
          </a:extLst>
        </xdr:cNvPr>
        <xdr:cNvSpPr/>
      </xdr:nvSpPr>
      <xdr:spPr>
        <a:xfrm>
          <a:off x="14450637" y="12514465"/>
          <a:ext cx="2665788" cy="33476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3460750</xdr:colOff>
      <xdr:row>166</xdr:row>
      <xdr:rowOff>12699</xdr:rowOff>
    </xdr:from>
    <xdr:to>
      <xdr:col>7</xdr:col>
      <xdr:colOff>6200323</xdr:colOff>
      <xdr:row>173</xdr:row>
      <xdr:rowOff>139245</xdr:rowOff>
    </xdr:to>
    <xdr:sp macro="" textlink="">
      <xdr:nvSpPr>
        <xdr:cNvPr id="4" name="Arrow: Right 3">
          <a:hlinkClick xmlns:r="http://schemas.openxmlformats.org/officeDocument/2006/relationships" r:id="rId3"/>
          <a:extLst>
            <a:ext uri="{FF2B5EF4-FFF2-40B4-BE49-F238E27FC236}">
              <a16:creationId xmlns:a16="http://schemas.microsoft.com/office/drawing/2014/main" id="{391A546A-0CCE-7CB4-8907-583657050E25}"/>
            </a:ext>
          </a:extLst>
        </xdr:cNvPr>
        <xdr:cNvSpPr/>
      </xdr:nvSpPr>
      <xdr:spPr>
        <a:xfrm>
          <a:off x="17100550" y="62534799"/>
          <a:ext cx="2739573" cy="1393371"/>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Disclosures</a:t>
          </a:r>
        </a:p>
      </xdr:txBody>
    </xdr:sp>
    <xdr:clientData/>
  </xdr:twoCellAnchor>
  <xdr:twoCellAnchor>
    <xdr:from>
      <xdr:col>7</xdr:col>
      <xdr:colOff>3452585</xdr:colOff>
      <xdr:row>175</xdr:row>
      <xdr:rowOff>35831</xdr:rowOff>
    </xdr:from>
    <xdr:to>
      <xdr:col>7</xdr:col>
      <xdr:colOff>6192158</xdr:colOff>
      <xdr:row>182</xdr:row>
      <xdr:rowOff>162378</xdr:rowOff>
    </xdr:to>
    <xdr:sp macro="" textlink="">
      <xdr:nvSpPr>
        <xdr:cNvPr id="5" name="Arrow: Right 4">
          <a:hlinkClick xmlns:r="http://schemas.openxmlformats.org/officeDocument/2006/relationships" r:id="rId4"/>
          <a:extLst>
            <a:ext uri="{FF2B5EF4-FFF2-40B4-BE49-F238E27FC236}">
              <a16:creationId xmlns:a16="http://schemas.microsoft.com/office/drawing/2014/main" id="{034DCD15-5CD6-4EE4-BE72-3F1FBACC1057}"/>
            </a:ext>
          </a:extLst>
        </xdr:cNvPr>
        <xdr:cNvSpPr/>
      </xdr:nvSpPr>
      <xdr:spPr>
        <a:xfrm>
          <a:off x="17092385" y="64186706"/>
          <a:ext cx="2739573" cy="1393372"/>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Social Disclosures</a:t>
          </a:r>
          <a:endParaRPr lang="en-BE" sz="1800" b="1">
            <a:solidFill>
              <a:schemeClr val="tx1"/>
            </a:solidFill>
            <a:effectLst/>
          </a:endParaRPr>
        </a:p>
        <a:p>
          <a:pPr algn="ctr"/>
          <a:endParaRPr lang="en-BE" sz="1800" b="1">
            <a:solidFill>
              <a:schemeClr val="tx1"/>
            </a:solidFill>
          </a:endParaRPr>
        </a:p>
      </xdr:txBody>
    </xdr:sp>
    <xdr:clientData/>
  </xdr:twoCellAnchor>
  <xdr:twoCellAnchor>
    <xdr:from>
      <xdr:col>7</xdr:col>
      <xdr:colOff>3474357</xdr:colOff>
      <xdr:row>183</xdr:row>
      <xdr:rowOff>178707</xdr:rowOff>
    </xdr:from>
    <xdr:to>
      <xdr:col>7</xdr:col>
      <xdr:colOff>6213930</xdr:colOff>
      <xdr:row>191</xdr:row>
      <xdr:rowOff>128361</xdr:rowOff>
    </xdr:to>
    <xdr:sp macro="" textlink="">
      <xdr:nvSpPr>
        <xdr:cNvPr id="6" name="Arrow: Right 5">
          <a:hlinkClick xmlns:r="http://schemas.openxmlformats.org/officeDocument/2006/relationships" r:id="rId5"/>
          <a:extLst>
            <a:ext uri="{FF2B5EF4-FFF2-40B4-BE49-F238E27FC236}">
              <a16:creationId xmlns:a16="http://schemas.microsoft.com/office/drawing/2014/main" id="{2305ED6B-777E-4789-82E7-887232BD41A1}"/>
            </a:ext>
          </a:extLst>
        </xdr:cNvPr>
        <xdr:cNvSpPr/>
      </xdr:nvSpPr>
      <xdr:spPr>
        <a:xfrm>
          <a:off x="17114157" y="65777382"/>
          <a:ext cx="2739573" cy="1397454"/>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3</xdr:col>
      <xdr:colOff>2032001</xdr:colOff>
      <xdr:row>167</xdr:row>
      <xdr:rowOff>154214</xdr:rowOff>
    </xdr:from>
    <xdr:to>
      <xdr:col>4</xdr:col>
      <xdr:colOff>1841500</xdr:colOff>
      <xdr:row>171</xdr:row>
      <xdr:rowOff>110672</xdr:rowOff>
    </xdr:to>
    <xdr:sp macro="" textlink="">
      <xdr:nvSpPr>
        <xdr:cNvPr id="7" name="Rectangle 6">
          <a:hlinkClick xmlns:r="http://schemas.openxmlformats.org/officeDocument/2006/relationships" r:id="rId6"/>
          <a:extLst>
            <a:ext uri="{FF2B5EF4-FFF2-40B4-BE49-F238E27FC236}">
              <a16:creationId xmlns:a16="http://schemas.microsoft.com/office/drawing/2014/main" id="{3834BDA7-E7E1-2618-0D54-1DCE21F3D5EA}"/>
            </a:ext>
          </a:extLst>
        </xdr:cNvPr>
        <xdr:cNvSpPr/>
      </xdr:nvSpPr>
      <xdr:spPr>
        <a:xfrm>
          <a:off x="7340601" y="62790614"/>
          <a:ext cx="2755899" cy="667658"/>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3</xdr:col>
      <xdr:colOff>2053772</xdr:colOff>
      <xdr:row>176</xdr:row>
      <xdr:rowOff>121557</xdr:rowOff>
    </xdr:from>
    <xdr:to>
      <xdr:col>4</xdr:col>
      <xdr:colOff>1863271</xdr:colOff>
      <xdr:row>180</xdr:row>
      <xdr:rowOff>78014</xdr:rowOff>
    </xdr:to>
    <xdr:sp macro="" textlink="">
      <xdr:nvSpPr>
        <xdr:cNvPr id="8" name="Rectangle 7">
          <a:hlinkClick xmlns:r="http://schemas.openxmlformats.org/officeDocument/2006/relationships" r:id="rId7"/>
          <a:extLst>
            <a:ext uri="{FF2B5EF4-FFF2-40B4-BE49-F238E27FC236}">
              <a16:creationId xmlns:a16="http://schemas.microsoft.com/office/drawing/2014/main" id="{8F5A7024-A53D-40B1-8355-2C3729A09FA5}"/>
            </a:ext>
          </a:extLst>
        </xdr:cNvPr>
        <xdr:cNvSpPr/>
      </xdr:nvSpPr>
      <xdr:spPr>
        <a:xfrm>
          <a:off x="7362372" y="64358157"/>
          <a:ext cx="2755899" cy="667657"/>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7</xdr:col>
      <xdr:colOff>19050</xdr:colOff>
      <xdr:row>106</xdr:row>
      <xdr:rowOff>1025237</xdr:rowOff>
    </xdr:from>
    <xdr:to>
      <xdr:col>7</xdr:col>
      <xdr:colOff>2628900</xdr:colOff>
      <xdr:row>106</xdr:row>
      <xdr:rowOff>1215737</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8175F491-2547-4288-94C3-7DA524447DDD}"/>
            </a:ext>
          </a:extLst>
        </xdr:cNvPr>
        <xdr:cNvSpPr/>
      </xdr:nvSpPr>
      <xdr:spPr>
        <a:xfrm>
          <a:off x="14407515" y="12550487"/>
          <a:ext cx="261366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54552</xdr:colOff>
      <xdr:row>106</xdr:row>
      <xdr:rowOff>400049</xdr:rowOff>
    </xdr:from>
    <xdr:to>
      <xdr:col>7</xdr:col>
      <xdr:colOff>895350</xdr:colOff>
      <xdr:row>106</xdr:row>
      <xdr:rowOff>636269</xdr:rowOff>
    </xdr:to>
    <xdr:sp macro="" textlink="">
      <xdr:nvSpPr>
        <xdr:cNvPr id="10" name="Rectangle 9">
          <a:hlinkClick xmlns:r="http://schemas.openxmlformats.org/officeDocument/2006/relationships" r:id="rId2"/>
          <a:extLst>
            <a:ext uri="{FF2B5EF4-FFF2-40B4-BE49-F238E27FC236}">
              <a16:creationId xmlns:a16="http://schemas.microsoft.com/office/drawing/2014/main" id="{3B7A973E-62AC-410D-BE85-70AFDD1C6721}"/>
            </a:ext>
          </a:extLst>
        </xdr:cNvPr>
        <xdr:cNvSpPr/>
      </xdr:nvSpPr>
      <xdr:spPr>
        <a:xfrm flipV="1">
          <a:off x="14446827" y="12915899"/>
          <a:ext cx="840798" cy="23622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164920</xdr:colOff>
      <xdr:row>22</xdr:row>
      <xdr:rowOff>12161</xdr:rowOff>
    </xdr:from>
    <xdr:to>
      <xdr:col>1</xdr:col>
      <xdr:colOff>523815</xdr:colOff>
      <xdr:row>23</xdr:row>
      <xdr:rowOff>8986</xdr:rowOff>
    </xdr:to>
    <xdr:sp macro="" textlink="">
      <xdr:nvSpPr>
        <xdr:cNvPr id="2" name="TextBox 1">
          <a:hlinkClick xmlns:r="http://schemas.openxmlformats.org/officeDocument/2006/relationships" r:id="rId1"/>
          <a:extLst>
            <a:ext uri="{FF2B5EF4-FFF2-40B4-BE49-F238E27FC236}">
              <a16:creationId xmlns:a16="http://schemas.microsoft.com/office/drawing/2014/main" id="{92F13EBD-F6A9-F6FF-AD9E-355D8C46B238}"/>
            </a:ext>
          </a:extLst>
        </xdr:cNvPr>
        <xdr:cNvSpPr txBox="1"/>
      </xdr:nvSpPr>
      <xdr:spPr>
        <a:xfrm>
          <a:off x="164920" y="5268883"/>
          <a:ext cx="1050805" cy="1765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BE" sz="1100"/>
        </a:p>
      </xdr:txBody>
    </xdr:sp>
    <xdr:clientData/>
  </xdr:twoCellAnchor>
  <xdr:twoCellAnchor>
    <xdr:from>
      <xdr:col>10</xdr:col>
      <xdr:colOff>338818</xdr:colOff>
      <xdr:row>245</xdr:row>
      <xdr:rowOff>149679</xdr:rowOff>
    </xdr:from>
    <xdr:to>
      <xdr:col>11</xdr:col>
      <xdr:colOff>1802947</xdr:colOff>
      <xdr:row>253</xdr:row>
      <xdr:rowOff>127908</xdr:rowOff>
    </xdr:to>
    <xdr:sp macro="" textlink="">
      <xdr:nvSpPr>
        <xdr:cNvPr id="3" name="Arrow: Right 2">
          <a:hlinkClick xmlns:r="http://schemas.openxmlformats.org/officeDocument/2006/relationships" r:id="rId2"/>
          <a:extLst>
            <a:ext uri="{FF2B5EF4-FFF2-40B4-BE49-F238E27FC236}">
              <a16:creationId xmlns:a16="http://schemas.microsoft.com/office/drawing/2014/main" id="{3F3D2D47-AF98-4169-A524-BAB1DEACE9CB}"/>
            </a:ext>
          </a:extLst>
        </xdr:cNvPr>
        <xdr:cNvSpPr/>
      </xdr:nvSpPr>
      <xdr:spPr>
        <a:xfrm>
          <a:off x="15807418" y="60685136"/>
          <a:ext cx="2737758" cy="1458686"/>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Social Disclosures</a:t>
          </a:r>
          <a:endParaRPr lang="en-BE" sz="1800" b="1">
            <a:solidFill>
              <a:schemeClr val="tx1"/>
            </a:solidFill>
            <a:effectLst/>
          </a:endParaRPr>
        </a:p>
      </xdr:txBody>
    </xdr:sp>
    <xdr:clientData/>
  </xdr:twoCellAnchor>
  <xdr:twoCellAnchor>
    <xdr:from>
      <xdr:col>10</xdr:col>
      <xdr:colOff>393247</xdr:colOff>
      <xdr:row>254</xdr:row>
      <xdr:rowOff>164647</xdr:rowOff>
    </xdr:from>
    <xdr:to>
      <xdr:col>11</xdr:col>
      <xdr:colOff>1857376</xdr:colOff>
      <xdr:row>262</xdr:row>
      <xdr:rowOff>138793</xdr:rowOff>
    </xdr:to>
    <xdr:sp macro="" textlink="">
      <xdr:nvSpPr>
        <xdr:cNvPr id="4" name="Arrow: Right 3">
          <a:hlinkClick xmlns:r="http://schemas.openxmlformats.org/officeDocument/2006/relationships" r:id="rId3"/>
          <a:extLst>
            <a:ext uri="{FF2B5EF4-FFF2-40B4-BE49-F238E27FC236}">
              <a16:creationId xmlns:a16="http://schemas.microsoft.com/office/drawing/2014/main" id="{55FD9AF0-1E71-4787-98B3-63EBD7D1A459}"/>
            </a:ext>
          </a:extLst>
        </xdr:cNvPr>
        <xdr:cNvSpPr/>
      </xdr:nvSpPr>
      <xdr:spPr>
        <a:xfrm>
          <a:off x="15861847" y="62365618"/>
          <a:ext cx="2737758" cy="1454604"/>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4</xdr:col>
      <xdr:colOff>880382</xdr:colOff>
      <xdr:row>247</xdr:row>
      <xdr:rowOff>119743</xdr:rowOff>
    </xdr:from>
    <xdr:to>
      <xdr:col>6</xdr:col>
      <xdr:colOff>732064</xdr:colOff>
      <xdr:row>251</xdr:row>
      <xdr:rowOff>88447</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E1B8D3EB-C8A5-427E-B5B4-003A8002592F}"/>
            </a:ext>
          </a:extLst>
        </xdr:cNvPr>
        <xdr:cNvSpPr/>
      </xdr:nvSpPr>
      <xdr:spPr>
        <a:xfrm>
          <a:off x="8772525" y="61025314"/>
          <a:ext cx="2758168" cy="708933"/>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4</xdr:col>
      <xdr:colOff>869496</xdr:colOff>
      <xdr:row>256</xdr:row>
      <xdr:rowOff>69397</xdr:rowOff>
    </xdr:from>
    <xdr:to>
      <xdr:col>6</xdr:col>
      <xdr:colOff>721178</xdr:colOff>
      <xdr:row>260</xdr:row>
      <xdr:rowOff>38101</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B6C7FA17-3A95-4322-89A6-BE9C7E7EDC7C}"/>
            </a:ext>
          </a:extLst>
        </xdr:cNvPr>
        <xdr:cNvSpPr/>
      </xdr:nvSpPr>
      <xdr:spPr>
        <a:xfrm>
          <a:off x="8761639" y="62640483"/>
          <a:ext cx="2758168" cy="708932"/>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2</xdr:col>
      <xdr:colOff>118382</xdr:colOff>
      <xdr:row>245</xdr:row>
      <xdr:rowOff>107495</xdr:rowOff>
    </xdr:from>
    <xdr:to>
      <xdr:col>2</xdr:col>
      <xdr:colOff>3322819</xdr:colOff>
      <xdr:row>253</xdr:row>
      <xdr:rowOff>162394</xdr:rowOff>
    </xdr:to>
    <xdr:sp macro="" textlink="">
      <xdr:nvSpPr>
        <xdr:cNvPr id="9" name="Arrow: Left 8">
          <a:hlinkClick xmlns:r="http://schemas.openxmlformats.org/officeDocument/2006/relationships" r:id="rId6"/>
          <a:extLst>
            <a:ext uri="{FF2B5EF4-FFF2-40B4-BE49-F238E27FC236}">
              <a16:creationId xmlns:a16="http://schemas.microsoft.com/office/drawing/2014/main" id="{A0A23430-4DD2-E4F0-14C3-62475C30B0A8}"/>
            </a:ext>
          </a:extLst>
        </xdr:cNvPr>
        <xdr:cNvSpPr/>
      </xdr:nvSpPr>
      <xdr:spPr>
        <a:xfrm>
          <a:off x="2754152" y="54221987"/>
          <a:ext cx="3204437" cy="155391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160565</xdr:colOff>
      <xdr:row>102</xdr:row>
      <xdr:rowOff>53068</xdr:rowOff>
    </xdr:from>
    <xdr:to>
      <xdr:col>8</xdr:col>
      <xdr:colOff>213633</xdr:colOff>
      <xdr:row>110</xdr:row>
      <xdr:rowOff>31297</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E997F0E8-8CEB-48B4-9BA8-D779EA9C83DD}"/>
            </a:ext>
          </a:extLst>
        </xdr:cNvPr>
        <xdr:cNvSpPr/>
      </xdr:nvSpPr>
      <xdr:spPr>
        <a:xfrm>
          <a:off x="11840936" y="31001154"/>
          <a:ext cx="2730954" cy="1458686"/>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2</xdr:col>
      <xdr:colOff>4667250</xdr:colOff>
      <xdr:row>104</xdr:row>
      <xdr:rowOff>56998</xdr:rowOff>
    </xdr:from>
    <xdr:to>
      <xdr:col>3</xdr:col>
      <xdr:colOff>2346959</xdr:colOff>
      <xdr:row>108</xdr:row>
      <xdr:rowOff>76200</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C63E2430-FD6B-43E1-A3F6-4DDC98CB497F}"/>
            </a:ext>
          </a:extLst>
        </xdr:cNvPr>
        <xdr:cNvSpPr/>
      </xdr:nvSpPr>
      <xdr:spPr>
        <a:xfrm>
          <a:off x="6038850" y="21773998"/>
          <a:ext cx="2499359" cy="743102"/>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2</xdr:col>
      <xdr:colOff>4674113</xdr:colOff>
      <xdr:row>114</xdr:row>
      <xdr:rowOff>93556</xdr:rowOff>
    </xdr:from>
    <xdr:to>
      <xdr:col>3</xdr:col>
      <xdr:colOff>2295525</xdr:colOff>
      <xdr:row>118</xdr:row>
      <xdr:rowOff>76200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926E470B-D682-412F-8335-2455D40665AC}"/>
            </a:ext>
          </a:extLst>
        </xdr:cNvPr>
        <xdr:cNvSpPr/>
      </xdr:nvSpPr>
      <xdr:spPr>
        <a:xfrm>
          <a:off x="6045713" y="23620306"/>
          <a:ext cx="2441062" cy="706544"/>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2</xdr:col>
      <xdr:colOff>1632</xdr:colOff>
      <xdr:row>102</xdr:row>
      <xdr:rowOff>82188</xdr:rowOff>
    </xdr:from>
    <xdr:to>
      <xdr:col>2</xdr:col>
      <xdr:colOff>2752725</xdr:colOff>
      <xdr:row>109</xdr:row>
      <xdr:rowOff>171451</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05D34B3E-7A7B-4C6A-ABAD-12F993B1167B}"/>
            </a:ext>
          </a:extLst>
        </xdr:cNvPr>
        <xdr:cNvSpPr/>
      </xdr:nvSpPr>
      <xdr:spPr>
        <a:xfrm>
          <a:off x="1373232" y="21437238"/>
          <a:ext cx="2751093" cy="1356088"/>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twoCellAnchor>
    <xdr:from>
      <xdr:col>1</xdr:col>
      <xdr:colOff>682261</xdr:colOff>
      <xdr:row>112</xdr:row>
      <xdr:rowOff>60145</xdr:rowOff>
    </xdr:from>
    <xdr:to>
      <xdr:col>2</xdr:col>
      <xdr:colOff>2733674</xdr:colOff>
      <xdr:row>120</xdr:row>
      <xdr:rowOff>38101</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7A757C88-ADDE-437C-BBC5-46F7C62BF5E6}"/>
            </a:ext>
          </a:extLst>
        </xdr:cNvPr>
        <xdr:cNvSpPr/>
      </xdr:nvSpPr>
      <xdr:spPr>
        <a:xfrm>
          <a:off x="1368061" y="23224945"/>
          <a:ext cx="2737213" cy="1425756"/>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Information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714376</xdr:colOff>
      <xdr:row>41</xdr:row>
      <xdr:rowOff>134249</xdr:rowOff>
    </xdr:from>
    <xdr:to>
      <xdr:col>7</xdr:col>
      <xdr:colOff>468631</xdr:colOff>
      <xdr:row>45</xdr:row>
      <xdr:rowOff>152400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8DC81852-B45D-4BA7-81E6-18451D6BACFB}"/>
            </a:ext>
          </a:extLst>
        </xdr:cNvPr>
        <xdr:cNvSpPr/>
      </xdr:nvSpPr>
      <xdr:spPr>
        <a:xfrm>
          <a:off x="5000626" y="9764024"/>
          <a:ext cx="3021330" cy="742051"/>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4</xdr:col>
      <xdr:colOff>771525</xdr:colOff>
      <xdr:row>51</xdr:row>
      <xdr:rowOff>85726</xdr:rowOff>
    </xdr:from>
    <xdr:to>
      <xdr:col>7</xdr:col>
      <xdr:colOff>456037</xdr:colOff>
      <xdr:row>55</xdr:row>
      <xdr:rowOff>134042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BAFACF95-7662-4CC0-AA9A-C0846BB817A7}"/>
            </a:ext>
          </a:extLst>
        </xdr:cNvPr>
        <xdr:cNvSpPr/>
      </xdr:nvSpPr>
      <xdr:spPr>
        <a:xfrm>
          <a:off x="5057775" y="11525251"/>
          <a:ext cx="2951587" cy="772216"/>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1</xdr:col>
      <xdr:colOff>1196939</xdr:colOff>
      <xdr:row>39</xdr:row>
      <xdr:rowOff>104561</xdr:rowOff>
    </xdr:from>
    <xdr:to>
      <xdr:col>3</xdr:col>
      <xdr:colOff>325133</xdr:colOff>
      <xdr:row>47</xdr:row>
      <xdr:rowOff>143734</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D3F3F3FB-C055-40A4-8115-81157E182856}"/>
            </a:ext>
          </a:extLst>
        </xdr:cNvPr>
        <xdr:cNvSpPr/>
      </xdr:nvSpPr>
      <xdr:spPr>
        <a:xfrm>
          <a:off x="1892264" y="13049036"/>
          <a:ext cx="2728644" cy="1486973"/>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twoCellAnchor>
    <xdr:from>
      <xdr:col>1</xdr:col>
      <xdr:colOff>1215989</xdr:colOff>
      <xdr:row>49</xdr:row>
      <xdr:rowOff>87759</xdr:rowOff>
    </xdr:from>
    <xdr:to>
      <xdr:col>3</xdr:col>
      <xdr:colOff>344183</xdr:colOff>
      <xdr:row>57</xdr:row>
      <xdr:rowOff>125754</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E467942C-2652-431A-9503-8B9538F436CF}"/>
            </a:ext>
          </a:extLst>
        </xdr:cNvPr>
        <xdr:cNvSpPr/>
      </xdr:nvSpPr>
      <xdr:spPr>
        <a:xfrm>
          <a:off x="1911314" y="14841984"/>
          <a:ext cx="2728644" cy="148579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Information</a:t>
          </a:r>
        </a:p>
      </xdr:txBody>
    </xdr:sp>
    <xdr:clientData/>
  </xdr:twoCellAnchor>
  <xdr:twoCellAnchor>
    <xdr:from>
      <xdr:col>1</xdr:col>
      <xdr:colOff>1206464</xdr:colOff>
      <xdr:row>58</xdr:row>
      <xdr:rowOff>136454</xdr:rowOff>
    </xdr:from>
    <xdr:to>
      <xdr:col>3</xdr:col>
      <xdr:colOff>334658</xdr:colOff>
      <xdr:row>66</xdr:row>
      <xdr:rowOff>174449</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69FF6380-3005-4F74-92F9-46D52069ADDA}"/>
            </a:ext>
          </a:extLst>
        </xdr:cNvPr>
        <xdr:cNvSpPr/>
      </xdr:nvSpPr>
      <xdr:spPr>
        <a:xfrm>
          <a:off x="1901789" y="16519454"/>
          <a:ext cx="2728644" cy="148579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Social Information</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xbrl.efrag.org/taxonomy/vsme/2025-07-30/vsme-all.xs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3" Type="http://schemas.openxmlformats.org/officeDocument/2006/relationships/hyperlink" Target="https://xbrl.efrag.org/e-esrs/2024-12-17-efrag-vsme.xhtml" TargetMode="External"/><Relationship Id="rId18" Type="http://schemas.openxmlformats.org/officeDocument/2006/relationships/hyperlink" Target="https://xbrl.efrag.org/eng/interactive/vsme/vsme-guidance-annex-ii/2025-07-30-ec-rec/148" TargetMode="External"/><Relationship Id="rId26" Type="http://schemas.openxmlformats.org/officeDocument/2006/relationships/hyperlink" Target="https://xbrl.efrag.org/e-esrs/2024-12-17-efrag-vsme.xhtml" TargetMode="External"/><Relationship Id="rId39" Type="http://schemas.openxmlformats.org/officeDocument/2006/relationships/hyperlink" Target="https://xbrl.efrag.org/eng/interactive/vsme/vsme-guidance-annex-ii/2025-07-30-ec-rec/13" TargetMode="External"/><Relationship Id="rId21" Type="http://schemas.openxmlformats.org/officeDocument/2006/relationships/hyperlink" Target="https://xbrl.efrag.org/eng/interactive/vsme/vsme-standard-annex-i/2025-07-30-ec-rec/24/d" TargetMode="External"/><Relationship Id="rId34" Type="http://schemas.openxmlformats.org/officeDocument/2006/relationships/hyperlink" Target="https://xbrl.efrag.org/eng/interactive/vsme/vsme-standard-annex-i/2025-07-30-ec-rec/26-28" TargetMode="External"/><Relationship Id="rId42" Type="http://schemas.openxmlformats.org/officeDocument/2006/relationships/hyperlink" Target="https://xbrl.efrag.org/eng/interactive/vsme/vsme-guidance-annex-ii/2025-07-30-ec-rec/149" TargetMode="External"/><Relationship Id="rId47" Type="http://schemas.openxmlformats.org/officeDocument/2006/relationships/hyperlink" Target="https://xbrl.efrag.org/e-esrs/2024-12-17-efrag-vsme.xhtml" TargetMode="External"/><Relationship Id="rId50" Type="http://schemas.openxmlformats.org/officeDocument/2006/relationships/hyperlink" Target="https://xbrl.efrag.org/eng/interactive/vsme/vsme-guidance-annex-ii/2025-07-30-ec-rec/9-12" TargetMode="External"/><Relationship Id="rId7" Type="http://schemas.openxmlformats.org/officeDocument/2006/relationships/hyperlink" Target="https://xbrl.efrag.org/e-esrs/2024-12-17-efrag-vsme.xhtml" TargetMode="External"/><Relationship Id="rId2" Type="http://schemas.openxmlformats.org/officeDocument/2006/relationships/hyperlink" Target="https://xbrl.efrag.org/e-esrs/2024-12-17-efrag-vsme.xhtml" TargetMode="External"/><Relationship Id="rId16" Type="http://schemas.openxmlformats.org/officeDocument/2006/relationships/hyperlink" Target="https://xbrl.efrag.org/eng/interactive/vsme/vsme-standard-annex-i/2025-07-30-ec-rec/47/d" TargetMode="External"/><Relationship Id="rId29" Type="http://schemas.openxmlformats.org/officeDocument/2006/relationships/hyperlink" Target="https://xbrl.efrag.org/e-esrs/2024-12-17-efrag-vsme.xhtml" TargetMode="External"/><Relationship Id="rId11" Type="http://schemas.openxmlformats.org/officeDocument/2006/relationships/hyperlink" Target="https://xbrl.efrag.org/e-esrs/2024-12-17-efrag-vsme.xhtml" TargetMode="External"/><Relationship Id="rId24" Type="http://schemas.openxmlformats.org/officeDocument/2006/relationships/hyperlink" Target="https://xbrl.efrag.org/e-esrs/2024-12-17-efrag-vsme.xhtml" TargetMode="External"/><Relationship Id="rId32" Type="http://schemas.openxmlformats.org/officeDocument/2006/relationships/hyperlink" Target="https://xbrl.efrag.org/eng/interactive/vsme/vsme-standard-annex-i/2025-07-30-ec-rec/25" TargetMode="External"/><Relationship Id="rId37" Type="http://schemas.openxmlformats.org/officeDocument/2006/relationships/hyperlink" Target="https://xbrl.efrag.org/eng/interactive/vsme/vsme-guidance-annex-ii/2025-07-30-ec-rec/4" TargetMode="External"/><Relationship Id="rId40" Type="http://schemas.openxmlformats.org/officeDocument/2006/relationships/hyperlink" Target="https://xbrl.efrag.org/eng/interactive/vsme/vsme-guidance-annex-ii/2025-07-30-ec-rec/9-12" TargetMode="External"/><Relationship Id="rId45" Type="http://schemas.openxmlformats.org/officeDocument/2006/relationships/hyperlink" Target="https://xbrl.efrag.org/eng/interactive/vsme/vsme-standard-annex-i/2025-07-30-ec-rec/24/e/v" TargetMode="External"/><Relationship Id="rId5" Type="http://schemas.openxmlformats.org/officeDocument/2006/relationships/hyperlink" Target="https://xbrl.efrag.org/eng/interactive/vsme/vsme-standard-annex-i/2025-07-30-ec-rec/24/b" TargetMode="External"/><Relationship Id="rId15" Type="http://schemas.openxmlformats.org/officeDocument/2006/relationships/hyperlink" Target="https://xbrl.efrag.org/e-esrs/2024-12-17-efrag-vsme.xhtml" TargetMode="External"/><Relationship Id="rId23" Type="http://schemas.openxmlformats.org/officeDocument/2006/relationships/hyperlink" Target="https://xbrl.efrag.org/eng/interactive/vsme/vsme-standard-annex-i/2025-07-30-ec-rec/47/b" TargetMode="External"/><Relationship Id="rId28" Type="http://schemas.openxmlformats.org/officeDocument/2006/relationships/hyperlink" Target="https://xbrl.efrag.org/eng/interactive/vsme/vsme-guidance-annex-ii/2025-07-30-ec-rec/15" TargetMode="External"/><Relationship Id="rId36" Type="http://schemas.openxmlformats.org/officeDocument/2006/relationships/hyperlink" Target="https://xbrl.efrag.org/eng/interactive/vsme/vsme-standard-annex-i/2025-07-30-ec-rec/16" TargetMode="External"/><Relationship Id="rId49" Type="http://schemas.openxmlformats.org/officeDocument/2006/relationships/hyperlink" Target="https://xbrl.efrag.org/eng/interactive/vsme/vsme-guidance-annex-ii/2025-07-30-ec-rec/7-8" TargetMode="External"/><Relationship Id="rId10" Type="http://schemas.openxmlformats.org/officeDocument/2006/relationships/hyperlink" Target="https://xbrl.efrag.org/eng/interactive/vsme/vsme-standard-annex-i/2025-07-30-ec-rec/24/e/vi" TargetMode="External"/><Relationship Id="rId19" Type="http://schemas.openxmlformats.org/officeDocument/2006/relationships/hyperlink" Target="https://xbrl.efrag.org/eng/interactive/vsme/vsme-standard-annex-i/2025-07-30-ec-rec/47/c" TargetMode="External"/><Relationship Id="rId31" Type="http://schemas.openxmlformats.org/officeDocument/2006/relationships/hyperlink" Target="https://xbrl.efrag.org/eng/interactive/vsme/vsme-standard-annex-i/2025-07-30-ec-rec/24/e/ii" TargetMode="External"/><Relationship Id="rId44" Type="http://schemas.openxmlformats.org/officeDocument/2006/relationships/hyperlink" Target="https://xbrl.efrag.org/eng/interactive/vsme/vsme-standard-annex-i/2025-07-30-ec-rec/24/e/v" TargetMode="External"/><Relationship Id="rId52" Type="http://schemas.openxmlformats.org/officeDocument/2006/relationships/drawing" Target="../drawings/drawing2.xml"/><Relationship Id="rId4" Type="http://schemas.openxmlformats.org/officeDocument/2006/relationships/hyperlink" Target="https://xbrl.efrag.org/eng/interactive/vsme/vsme-standard-annex-i/2025-07-30-ec-rec/24/a" TargetMode="External"/><Relationship Id="rId9" Type="http://schemas.openxmlformats.org/officeDocument/2006/relationships/hyperlink" Target="https://xbrl.efrag.org/eng/interactive/vsme/vsme-standard-annex-i/2025-07-30-ec-rec/24/e/v" TargetMode="External"/><Relationship Id="rId14" Type="http://schemas.openxmlformats.org/officeDocument/2006/relationships/hyperlink" Target="https://xbrl.efrag.org/e-esrs/2024-12-17-efrag-vsme.xhtml" TargetMode="External"/><Relationship Id="rId22" Type="http://schemas.openxmlformats.org/officeDocument/2006/relationships/hyperlink" Target="https://xbrl.efrag.org/eng/interactive/vsme/vsme-standard-annex-i/2025-07-30-ec-rec/24/e/iii" TargetMode="External"/><Relationship Id="rId27" Type="http://schemas.openxmlformats.org/officeDocument/2006/relationships/hyperlink" Target="https://xbrl.efrag.org/eng/interactive/vsme/vsme-standard-annex-i/2025-07-30-ec-rec/49" TargetMode="External"/><Relationship Id="rId30" Type="http://schemas.openxmlformats.org/officeDocument/2006/relationships/hyperlink" Target="https://xbrl.efrag.org/eng/interactive/vsme/vsme-standard-annex-i/2025-07-30-ec-rec/24/e/i" TargetMode="External"/><Relationship Id="rId35" Type="http://schemas.openxmlformats.org/officeDocument/2006/relationships/hyperlink" Target="https://xbrl.efrag.org/eng/interactive/vsme/vsme-standard-annex-i/2025-07-30-ec-rec/48" TargetMode="External"/><Relationship Id="rId43" Type="http://schemas.openxmlformats.org/officeDocument/2006/relationships/hyperlink" Target="https://xbrl.efrag.org/eng/interactive/vsme/vsme-standard-annex-i/2025-07-30-ec-rec/10" TargetMode="External"/><Relationship Id="rId48" Type="http://schemas.openxmlformats.org/officeDocument/2006/relationships/hyperlink" Target="https://xbrl.efrag.org/eng/interactive/vsme/vsme-guidance-annex-ii/2025-07-30-ec-rec/7-8" TargetMode="External"/><Relationship Id="rId8" Type="http://schemas.openxmlformats.org/officeDocument/2006/relationships/hyperlink" Target="https://xbrl.efrag.org/eng/interactive/vsme/vsme-standard-annex-i/2025-07-30-ec-rec/24/e/iv" TargetMode="External"/><Relationship Id="rId51" Type="http://schemas.openxmlformats.org/officeDocument/2006/relationships/printerSettings" Target="../printerSettings/printerSettings2.bin"/><Relationship Id="rId3" Type="http://schemas.openxmlformats.org/officeDocument/2006/relationships/hyperlink" Target="https://xbrl.efrag.org/eng/interactive/vsme/vsme-guidance-annex-ii/2025-07-30-ec-rec/7-8" TargetMode="External"/><Relationship Id="rId12" Type="http://schemas.openxmlformats.org/officeDocument/2006/relationships/hyperlink" Target="https://xbrl.efrag.org/e-esrs/2024-12-17-efrag-vsme.xhtml" TargetMode="External"/><Relationship Id="rId17" Type="http://schemas.openxmlformats.org/officeDocument/2006/relationships/hyperlink" Target="https://xbrl.efrag.org/e-esrs/2024-12-17-efrag-vsme.xhtml" TargetMode="External"/><Relationship Id="rId25" Type="http://schemas.openxmlformats.org/officeDocument/2006/relationships/hyperlink" Target="https://xbrl.efrag.org/e-esrs/2024-12-17-efrag-vsme.xhtml" TargetMode="External"/><Relationship Id="rId33" Type="http://schemas.openxmlformats.org/officeDocument/2006/relationships/hyperlink" Target="https://xbrl.efrag.org/eng/interactive/vsme/vsme-standard-annex-i/2025-07-30-ec-rec/24/e/vii" TargetMode="External"/><Relationship Id="rId38" Type="http://schemas.openxmlformats.org/officeDocument/2006/relationships/hyperlink" Target="https://xbrl.efrag.org/eng/interactive/vsme/vsme-guidance-annex-ii/2025-07-30-ec-rec/5-6" TargetMode="External"/><Relationship Id="rId46" Type="http://schemas.openxmlformats.org/officeDocument/2006/relationships/hyperlink" Target="https://xbrl.efrag.org/e-esrs/2024-12-17-efrag-vsme.xhtml" TargetMode="External"/><Relationship Id="rId20" Type="http://schemas.openxmlformats.org/officeDocument/2006/relationships/hyperlink" Target="https://xbrl.efrag.org/eng/interactive/vsme/vsme-standard-annex-i/2025-07-30-ec-rec/47/a" TargetMode="External"/><Relationship Id="rId41" Type="http://schemas.openxmlformats.org/officeDocument/2006/relationships/hyperlink" Target="https://xbrl.efrag.org/eng/interactive/vsme/vsme-guidance-annex-ii/2025-07-30-ec-rec/14-16" TargetMode="External"/><Relationship Id="rId1" Type="http://schemas.openxmlformats.org/officeDocument/2006/relationships/hyperlink" Target="https://xbrl.efrag.org/e-esrs/2024-12-17-efrag-vsme.xhtml" TargetMode="External"/><Relationship Id="rId6" Type="http://schemas.openxmlformats.org/officeDocument/2006/relationships/hyperlink" Target="https://xbrl.efrag.org/eng/interactive/vsme/vsme-standard-annex-i/2025-07-30-ec-rec/24/c"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xbrl.efrag.org/e-esrs/2024-12-17-efrag-vsme.xhtml" TargetMode="External"/><Relationship Id="rId21" Type="http://schemas.openxmlformats.org/officeDocument/2006/relationships/hyperlink" Target="https://xbrl.efrag.org/eng/interactive/vsme/vsme-standard-annex-i/2025-07-30-ec-rec/57/d" TargetMode="External"/><Relationship Id="rId42" Type="http://schemas.openxmlformats.org/officeDocument/2006/relationships/hyperlink" Target="https://xbrl.efrag.org/eng/interactive/vsme/vsme-standard-annex-i/2025-07-30-ec-rec/36" TargetMode="External"/><Relationship Id="rId47" Type="http://schemas.openxmlformats.org/officeDocument/2006/relationships/hyperlink" Target="https://xbrl.efrag.org/eng/interactive/vsme/vsme-standard-annex-i/2025-07-30-ec-rec/54/e" TargetMode="External"/><Relationship Id="rId63" Type="http://schemas.openxmlformats.org/officeDocument/2006/relationships/hyperlink" Target="https://xbrl.efrag.org/eng/interactive/vsme/vsme-guidance-annex-ii/2025-07-30-ec-rec/152-158" TargetMode="External"/><Relationship Id="rId68" Type="http://schemas.openxmlformats.org/officeDocument/2006/relationships/hyperlink" Target="https://xbrl.efrag.org/eng/interactive/vsme/vsme-guidance-annex-ii/2025-07-30-ec-rec/70-73" TargetMode="External"/><Relationship Id="rId84" Type="http://schemas.openxmlformats.org/officeDocument/2006/relationships/hyperlink" Target="https://xbrl.efrag.org/eng/interactive/vsme/vsme-guidance-annex-ii/2025-07-30-ec-rec/164-166" TargetMode="External"/><Relationship Id="rId16" Type="http://schemas.openxmlformats.org/officeDocument/2006/relationships/hyperlink" Target="https://xbrl.efrag.org/e-esrs/2024-12-17-efrag-vsme.xhtml" TargetMode="External"/><Relationship Id="rId11" Type="http://schemas.openxmlformats.org/officeDocument/2006/relationships/hyperlink" Target="https://xbrl.efrag.org/e-esrs/2024-12-17-efrag-vsme.xhtml" TargetMode="External"/><Relationship Id="rId32" Type="http://schemas.openxmlformats.org/officeDocument/2006/relationships/hyperlink" Target="https://xbrl.efrag.org/e-esrs/2024-12-17-efrag-vsme.xhtml" TargetMode="External"/><Relationship Id="rId37" Type="http://schemas.openxmlformats.org/officeDocument/2006/relationships/hyperlink" Target="https://xbrl.efrag.org/eng/interactive/vsme/vsme-standard-annex-i/2025-07-30-ec-rec/54/d" TargetMode="External"/><Relationship Id="rId53" Type="http://schemas.openxmlformats.org/officeDocument/2006/relationships/hyperlink" Target="https://xbrl.efrag.org/eng/interactive/vsme/vsme-standard-annex-i/2025-07-30-ec-rec/35" TargetMode="External"/><Relationship Id="rId58" Type="http://schemas.openxmlformats.org/officeDocument/2006/relationships/hyperlink" Target="https://xbrl.efrag.org/eng/interactive/vsme/vsme-guidance-annex-ii/2025-07-30-ec-rec/18-25" TargetMode="External"/><Relationship Id="rId74" Type="http://schemas.openxmlformats.org/officeDocument/2006/relationships/hyperlink" Target="https://xbrl.efrag.org/eng/interactive/vsme/vsme-guidance-annex-ii/2025-07-30-ec-rec/108-109" TargetMode="External"/><Relationship Id="rId79" Type="http://schemas.openxmlformats.org/officeDocument/2006/relationships/hyperlink" Target="https://xbrl.efrag.org/eng/interactive/vsme/vsme-guidance-annex-ii/2025-07-30-ec-rec/164-166" TargetMode="External"/><Relationship Id="rId5" Type="http://schemas.openxmlformats.org/officeDocument/2006/relationships/hyperlink" Target="https://xbrl.efrag.org/e-esrs/2024-12-17-efrag-vsme.xhtml" TargetMode="External"/><Relationship Id="rId19" Type="http://schemas.openxmlformats.org/officeDocument/2006/relationships/hyperlink" Target="https://xbrl.efrag.org/eng/interactive/vsme/vsme-standard-annex-i/2025-07-30-ec-rec/57/b" TargetMode="External"/><Relationship Id="rId14" Type="http://schemas.openxmlformats.org/officeDocument/2006/relationships/hyperlink" Target="https://xbrl.efrag.org/e-esrs/2024-12-17-efrag-vsme.xhtml" TargetMode="External"/><Relationship Id="rId22" Type="http://schemas.openxmlformats.org/officeDocument/2006/relationships/hyperlink" Target="https://xbrl.efrag.org/eng/interactive/vsme/vsme-standard-annex-i/2025-07-30-ec-rec/58" TargetMode="External"/><Relationship Id="rId27" Type="http://schemas.openxmlformats.org/officeDocument/2006/relationships/hyperlink" Target="https://xbrl.efrag.org/e-esrs/2024-12-17-efrag-vsme.xhtml" TargetMode="External"/><Relationship Id="rId30" Type="http://schemas.openxmlformats.org/officeDocument/2006/relationships/hyperlink" Target="https://xbrl.efrag.org/e-esrs/2024-12-17-efrag-vsme.xhtml" TargetMode="External"/><Relationship Id="rId35" Type="http://schemas.openxmlformats.org/officeDocument/2006/relationships/hyperlink" Target="https://xbrl.efrag.org/e-esrs/2024-12-17-efrag-vsme.xhtml" TargetMode="External"/><Relationship Id="rId43" Type="http://schemas.openxmlformats.org/officeDocument/2006/relationships/hyperlink" Target="https://xbrl.efrag.org/eng/interactive/vsme/vsme-standard-annex-i/2025-07-30-ec-rec/29" TargetMode="External"/><Relationship Id="rId48" Type="http://schemas.openxmlformats.org/officeDocument/2006/relationships/hyperlink" Target="https://xbrl.efrag.org/eng/interactive/vsme/vsme-standard-annex-i/2025-07-30-ec-rec/56" TargetMode="External"/><Relationship Id="rId56" Type="http://schemas.openxmlformats.org/officeDocument/2006/relationships/hyperlink" Target="https://xbrl.efrag.org/eng/interactive/vsme/vsme-standard-annex-i/2025-07-30-ec-rec/38/c" TargetMode="External"/><Relationship Id="rId64" Type="http://schemas.openxmlformats.org/officeDocument/2006/relationships/hyperlink" Target="https://xbrl.efrag.org/eng/interactive/vsme/vsme-guidance-annex-ii/2025-07-30-ec-rec/150-151" TargetMode="External"/><Relationship Id="rId69" Type="http://schemas.openxmlformats.org/officeDocument/2006/relationships/hyperlink" Target="https://xbrl.efrag.org/eng/interactive/vsme/vsme-guidance-annex-ii/2025-07-30-ec-rec/74-76" TargetMode="External"/><Relationship Id="rId77" Type="http://schemas.openxmlformats.org/officeDocument/2006/relationships/hyperlink" Target="https://xbrl.efrag.org/e-esrs/2024-12-17-efrag-vsme.xhtml" TargetMode="External"/><Relationship Id="rId8" Type="http://schemas.openxmlformats.org/officeDocument/2006/relationships/hyperlink" Target="https://xbrl.efrag.org/e-esrs/2024-12-17-efrag-vsme.xhtml" TargetMode="External"/><Relationship Id="rId51" Type="http://schemas.openxmlformats.org/officeDocument/2006/relationships/hyperlink" Target="https://xbrl.efrag.org/eng/interactive/vsme/vsme-standard-annex-i/2025-07-30-ec-rec/33" TargetMode="External"/><Relationship Id="rId72" Type="http://schemas.openxmlformats.org/officeDocument/2006/relationships/hyperlink" Target="https://xbrl.efrag.org/eng/interactive/vsme/vsme-guidance-annex-ii/2025-07-30-ec-rec/94" TargetMode="External"/><Relationship Id="rId80" Type="http://schemas.openxmlformats.org/officeDocument/2006/relationships/hyperlink" Target="https://xbrl.efrag.org/eng/interactive/vsme/vsme-guidance-annex-ii/2025-07-30-ec-rec/160-163" TargetMode="External"/><Relationship Id="rId85" Type="http://schemas.openxmlformats.org/officeDocument/2006/relationships/printerSettings" Target="../printerSettings/printerSettings3.bin"/><Relationship Id="rId3" Type="http://schemas.openxmlformats.org/officeDocument/2006/relationships/hyperlink" Target="https://xbrl.efrag.org/e-esrs/2024-12-17-efrag-vsme.xhtml" TargetMode="External"/><Relationship Id="rId12" Type="http://schemas.openxmlformats.org/officeDocument/2006/relationships/hyperlink" Target="https://xbrl.efrag.org/e-esrs/2024-12-17-efrag-vsme.xhtml" TargetMode="External"/><Relationship Id="rId17" Type="http://schemas.openxmlformats.org/officeDocument/2006/relationships/hyperlink" Target="https://xbrl.efrag.org/e-esrs/2024-12-17-efrag-vsme.xhtml" TargetMode="External"/><Relationship Id="rId25" Type="http://schemas.openxmlformats.org/officeDocument/2006/relationships/hyperlink" Target="https://xbrl.efrag.org/e-esrs/2024-12-17-efrag-vsme.xhtml" TargetMode="External"/><Relationship Id="rId33" Type="http://schemas.openxmlformats.org/officeDocument/2006/relationships/hyperlink" Target="https://xbrl.efrag.org/e-esrs/2024-12-17-efrag-vsme.xhtml" TargetMode="External"/><Relationship Id="rId38" Type="http://schemas.openxmlformats.org/officeDocument/2006/relationships/hyperlink" Target="https://xbrl.efrag.org/e-esrs/2024-12-17-efrag-vsme.xhtml" TargetMode="External"/><Relationship Id="rId46" Type="http://schemas.openxmlformats.org/officeDocument/2006/relationships/hyperlink" Target="https://xbrl.efrag.org/eng/interactive/vsme/vsme-standard-annex-i/2025-07-30-ec-rec/50-53" TargetMode="External"/><Relationship Id="rId59" Type="http://schemas.openxmlformats.org/officeDocument/2006/relationships/hyperlink" Target="https://xbrl.efrag.org/eng/interactive/vsme/vsme-guidance-annex-ii/2025-07-30-ec-rec/18-25" TargetMode="External"/><Relationship Id="rId67" Type="http://schemas.openxmlformats.org/officeDocument/2006/relationships/hyperlink" Target="https://xbrl.efrag.org/eng/interactive/vsme/vsme-guidance-annex-ii/2025-07-30-ec-rec/46-69" TargetMode="External"/><Relationship Id="rId20" Type="http://schemas.openxmlformats.org/officeDocument/2006/relationships/hyperlink" Target="https://xbrl.efrag.org/eng/interactive/vsme/vsme-standard-annex-i/2025-07-30-ec-rec/57/c" TargetMode="External"/><Relationship Id="rId41" Type="http://schemas.openxmlformats.org/officeDocument/2006/relationships/hyperlink" Target="https://xbrl.efrag.org/eng/interactive/vsme/vsme-guidance-annex-ii/2025-07-30-ec-rec/160-163" TargetMode="External"/><Relationship Id="rId54" Type="http://schemas.openxmlformats.org/officeDocument/2006/relationships/hyperlink" Target="https://xbrl.efrag.org/eng/interactive/vsme/vsme-standard-annex-i/2025-07-30-ec-rec/37" TargetMode="External"/><Relationship Id="rId62" Type="http://schemas.openxmlformats.org/officeDocument/2006/relationships/hyperlink" Target="https://xbrl.efrag.org/eng/interactive/vsme/vsme-guidance-annex-ii/2025-07-30-ec-rec/152-158" TargetMode="External"/><Relationship Id="rId70" Type="http://schemas.openxmlformats.org/officeDocument/2006/relationships/hyperlink" Target="https://xbrl.efrag.org/eng/interactive/vsme/vsme-guidance-annex-ii/2025-07-30-ec-rec/91-93" TargetMode="External"/><Relationship Id="rId75" Type="http://schemas.openxmlformats.org/officeDocument/2006/relationships/hyperlink" Target="https://xbrl.efrag.org/eng/interactive/vsme/vsme-standard-annex-i/2025-07-30-ec-rec/55" TargetMode="External"/><Relationship Id="rId83" Type="http://schemas.openxmlformats.org/officeDocument/2006/relationships/hyperlink" Target="https://xbrl.efrag.org/eng/interactive/vsme/vsme-guidance-annex-ii/2025-07-30-ec-rec/164-166" TargetMode="External"/><Relationship Id="rId1" Type="http://schemas.openxmlformats.org/officeDocument/2006/relationships/hyperlink" Target="https://xbrl.efrag.org/e-esrs/2024-12-17-efrag-vsme.xhtml" TargetMode="External"/><Relationship Id="rId6" Type="http://schemas.openxmlformats.org/officeDocument/2006/relationships/hyperlink" Target="https://xbrl.efrag.org/eng/interactive/vsme/vsme-standard-annex-i/2025-07-30-ec-rec/54/a" TargetMode="External"/><Relationship Id="rId15" Type="http://schemas.openxmlformats.org/officeDocument/2006/relationships/hyperlink" Target="https://xbrl.efrag.org/e-esrs/2024-12-17-efrag-vsme.xhtml" TargetMode="External"/><Relationship Id="rId23" Type="http://schemas.openxmlformats.org/officeDocument/2006/relationships/hyperlink" Target="https://xbrl.efrag.org/eng/interactive/vsme/vsme-guidance-annex-ii/2025-07-30-ec-rec/164-166" TargetMode="External"/><Relationship Id="rId28" Type="http://schemas.openxmlformats.org/officeDocument/2006/relationships/hyperlink" Target="https://xbrl.efrag.org/e-esrs/2024-12-17-efrag-vsme.xhtml" TargetMode="External"/><Relationship Id="rId36" Type="http://schemas.openxmlformats.org/officeDocument/2006/relationships/hyperlink" Target="https://xbrl.efrag.org/e-esrs/2024-12-17-efrag-vsme.xhtml" TargetMode="External"/><Relationship Id="rId49" Type="http://schemas.openxmlformats.org/officeDocument/2006/relationships/hyperlink" Target="https://xbrl.efrag.org/eng/interactive/vsme/vsme-standard-annex-i/2025-07-30-ec-rec/31" TargetMode="External"/><Relationship Id="rId57" Type="http://schemas.openxmlformats.org/officeDocument/2006/relationships/hyperlink" Target="https://xbrl.efrag.org/eng/interactive/vsme/vsme-standard-annex-i/2025-07-30-ec-rec/10" TargetMode="External"/><Relationship Id="rId10" Type="http://schemas.openxmlformats.org/officeDocument/2006/relationships/hyperlink" Target="https://xbrl.efrag.org/e-esrs/2024-12-17-efrag-vsme.xhtml" TargetMode="External"/><Relationship Id="rId31" Type="http://schemas.openxmlformats.org/officeDocument/2006/relationships/hyperlink" Target="https://xbrl.efrag.org/e-esrs/2024-12-17-efrag-vsme.xhtml" TargetMode="External"/><Relationship Id="rId44" Type="http://schemas.openxmlformats.org/officeDocument/2006/relationships/hyperlink" Target="https://xbrl.efrag.org/eng/interactive/vsme/vsme-standard-annex-i/2025-07-30-ec-rec/30" TargetMode="External"/><Relationship Id="rId52" Type="http://schemas.openxmlformats.org/officeDocument/2006/relationships/hyperlink" Target="https://xbrl.efrag.org/eng/interactive/vsme/vsme-standard-annex-i/2025-07-30-ec-rec/34" TargetMode="External"/><Relationship Id="rId60" Type="http://schemas.openxmlformats.org/officeDocument/2006/relationships/hyperlink" Target="https://xbrl.efrag.org/eng/interactive/vsme/vsme-guidance-annex-ii/2025-07-30-ec-rec/26-45" TargetMode="External"/><Relationship Id="rId65" Type="http://schemas.openxmlformats.org/officeDocument/2006/relationships/hyperlink" Target="https://xbrl.efrag.org/eng/interactive/vsme/vsme-guidance-annex-ii/2025-07-30-ec-rec/159" TargetMode="External"/><Relationship Id="rId73" Type="http://schemas.openxmlformats.org/officeDocument/2006/relationships/hyperlink" Target="https://xbrl.efrag.org/eng/interactive/vsme/vsme-guidance-annex-ii/2025-07-30-ec-rec/95-107" TargetMode="External"/><Relationship Id="rId78" Type="http://schemas.openxmlformats.org/officeDocument/2006/relationships/hyperlink" Target="https://xbrl.efrag.org/eng/interactive/vsme/vsme-standard-annex-i/2025-07-30-ec-rec/29" TargetMode="External"/><Relationship Id="rId81" Type="http://schemas.openxmlformats.org/officeDocument/2006/relationships/hyperlink" Target="https://xbrl.efrag.org/eng/interactive/vsme/vsme-guidance-annex-ii/2025-07-30-ec-rec/160-163" TargetMode="External"/><Relationship Id="rId86" Type="http://schemas.openxmlformats.org/officeDocument/2006/relationships/drawing" Target="../drawings/drawing3.xml"/><Relationship Id="rId4" Type="http://schemas.openxmlformats.org/officeDocument/2006/relationships/hyperlink" Target="https://xbrl.efrag.org/e-esrs/2024-12-17-efrag-vsme.xhtml" TargetMode="External"/><Relationship Id="rId9" Type="http://schemas.openxmlformats.org/officeDocument/2006/relationships/hyperlink" Target="https://xbrl.efrag.org/e-esrs/2024-12-17-efrag-vsme.xhtml" TargetMode="External"/><Relationship Id="rId13" Type="http://schemas.openxmlformats.org/officeDocument/2006/relationships/hyperlink" Target="https://xbrl.efrag.org/e-esrs/2024-12-17-efrag-vsme.xhtml" TargetMode="External"/><Relationship Id="rId18" Type="http://schemas.openxmlformats.org/officeDocument/2006/relationships/hyperlink" Target="https://xbrl.efrag.org/eng/interactive/vsme/vsme-standard-annex-i/2025-07-30-ec-rec/57/a" TargetMode="External"/><Relationship Id="rId39" Type="http://schemas.openxmlformats.org/officeDocument/2006/relationships/hyperlink" Target="https://xbrl.efrag.org/e-esrs/2024-12-17-efrag-vsme.xhtml" TargetMode="External"/><Relationship Id="rId34" Type="http://schemas.openxmlformats.org/officeDocument/2006/relationships/hyperlink" Target="https://xbrl.efrag.org/e-esrs/2024-12-17-efrag-vsme.xhtml" TargetMode="External"/><Relationship Id="rId50" Type="http://schemas.openxmlformats.org/officeDocument/2006/relationships/hyperlink" Target="https://xbrl.efrag.org/eng/interactive/vsme/vsme-standard-annex-i/2025-07-30-ec-rec/32" TargetMode="External"/><Relationship Id="rId55" Type="http://schemas.openxmlformats.org/officeDocument/2006/relationships/hyperlink" Target="https://xbrl.efrag.org/eng/interactive/vsme/vsme-standard-annex-i/2025-07-30-ec-rec/38/a-b" TargetMode="External"/><Relationship Id="rId76" Type="http://schemas.openxmlformats.org/officeDocument/2006/relationships/hyperlink" Target="https://xbrl.efrag.org/eng/interactive/vsme/vsme-standard-annex-i/2025-07-30-ec-rec/55" TargetMode="External"/><Relationship Id="rId7" Type="http://schemas.openxmlformats.org/officeDocument/2006/relationships/hyperlink" Target="https://xbrl.efrag.org/e-esrs/2024-12-17-efrag-vsme.xhtml" TargetMode="External"/><Relationship Id="rId71" Type="http://schemas.openxmlformats.org/officeDocument/2006/relationships/hyperlink" Target="https://xbrl.efrag.org/eng/interactive/vsme/vsme-guidance-annex-ii/2025-07-30-ec-rec/77-90" TargetMode="External"/><Relationship Id="rId2" Type="http://schemas.openxmlformats.org/officeDocument/2006/relationships/hyperlink" Target="https://xbrl.efrag.org/e-esrs/2024-12-17-efrag-vsme.xhtml" TargetMode="External"/><Relationship Id="rId29" Type="http://schemas.openxmlformats.org/officeDocument/2006/relationships/hyperlink" Target="https://xbrl.efrag.org/e-esrs/2024-12-17-efrag-vsme.xhtml" TargetMode="External"/><Relationship Id="rId24" Type="http://schemas.openxmlformats.org/officeDocument/2006/relationships/hyperlink" Target="https://xbrl.efrag.org/eng/interactive/vsme/vsme-standard-annex-i/2025-07-30-ec-rec/54/d" TargetMode="External"/><Relationship Id="rId40" Type="http://schemas.openxmlformats.org/officeDocument/2006/relationships/hyperlink" Target="https://xbrl.efrag.org/eng/interactive/vsme/vsme-standard-annex-i/2025-07-30-ec-rec/55" TargetMode="External"/><Relationship Id="rId45" Type="http://schemas.openxmlformats.org/officeDocument/2006/relationships/hyperlink" Target="https://xbrl.efrag.org/eng/interactive/vsme/vsme-standard-annex-i/2025-07-30-ec-rec/54/b" TargetMode="External"/><Relationship Id="rId66" Type="http://schemas.openxmlformats.org/officeDocument/2006/relationships/hyperlink" Target="https://knowledgehub.efrag.org/eng/interactive/vsme/vsme-guidance-annex-ii/2025-07-30-ec-rec/160-163" TargetMode="External"/><Relationship Id="rId61" Type="http://schemas.openxmlformats.org/officeDocument/2006/relationships/hyperlink" Target="https://xbrl.efrag.org/eng/interactive/vsme/vsme-guidance-annex-ii/2025-07-30-ec-rec/152-158" TargetMode="External"/><Relationship Id="rId82" Type="http://schemas.openxmlformats.org/officeDocument/2006/relationships/hyperlink" Target="https://xbrl.efrag.org/eng/interactive/vsme/vsme-guidance-annex-ii/2025-07-30-ec-rec/164-166"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xbrl.efrag.org/eng/interactive/vsme/vsme-standard-annex-i/2025-07-30-ec-rec/62/a" TargetMode="External"/><Relationship Id="rId21" Type="http://schemas.openxmlformats.org/officeDocument/2006/relationships/hyperlink" Target="https://xbrl.efrag.org/eng/interactive/vsme/vsme-standard-annex-i/2025-07-30-ec-rec/61/b" TargetMode="External"/><Relationship Id="rId42" Type="http://schemas.openxmlformats.org/officeDocument/2006/relationships/hyperlink" Target="https://xbrl.efrag.org/eng/interactive/vsme/vsme-guidance-annex-ii/2025-07-30-ec-rec/110-117" TargetMode="External"/><Relationship Id="rId47" Type="http://schemas.openxmlformats.org/officeDocument/2006/relationships/hyperlink" Target="https://xbrl.efrag.org/eng/interactive/vsme/vsme-standard-annex-i/2025-07-30-ec-rec/41/a" TargetMode="External"/><Relationship Id="rId63" Type="http://schemas.openxmlformats.org/officeDocument/2006/relationships/hyperlink" Target="https://xbrl.efrag.org/eng/interactive/vsme/vsme-guidance-annex-ii/2025-07-30-ec-rec/119-126" TargetMode="External"/><Relationship Id="rId68" Type="http://schemas.openxmlformats.org/officeDocument/2006/relationships/hyperlink" Target="https://xbrl.efrag.org/eng/interactive/vsme/vsme-guidance-annex-ii/2025-07-30-ec-rec/173" TargetMode="External"/><Relationship Id="rId84" Type="http://schemas.openxmlformats.org/officeDocument/2006/relationships/hyperlink" Target="https://xbrl.efrag.org/eng/interactive/vsme/vsme-guidance-annex-ii/2025-07-30-ec-rec/119-126" TargetMode="External"/><Relationship Id="rId89" Type="http://schemas.openxmlformats.org/officeDocument/2006/relationships/drawing" Target="../drawings/drawing4.xml"/><Relationship Id="rId16" Type="http://schemas.openxmlformats.org/officeDocument/2006/relationships/hyperlink" Target="https://xbrl.efrag.org/eng/interactive/vsme/vsme-standard-annex-i/2025-07-30-ec-rec/59" TargetMode="External"/><Relationship Id="rId11" Type="http://schemas.openxmlformats.org/officeDocument/2006/relationships/hyperlink" Target="https://xbrl.efrag.org/eng/interactive/vsme/vsme-standard-annex-i/2025-07-30-ec-rec/42/a" TargetMode="External"/><Relationship Id="rId32" Type="http://schemas.openxmlformats.org/officeDocument/2006/relationships/hyperlink" Target="https://xbrl.efrag.org/eng/interactive/vsme/vsme-standard-annex-i/2025-07-30-ec-rec/39/c" TargetMode="External"/><Relationship Id="rId37" Type="http://schemas.openxmlformats.org/officeDocument/2006/relationships/hyperlink" Target="https://xbrl.efrag.org/eng/interactive/vsme/vsme-standard-annex-i/2025-07-30-ec-rec/60" TargetMode="External"/><Relationship Id="rId53" Type="http://schemas.openxmlformats.org/officeDocument/2006/relationships/hyperlink" Target="https://xbrl.efrag.org/eng/interactive/vsme/vsme-standard-annex-i/2025-07-30-ec-rec/61/b" TargetMode="External"/><Relationship Id="rId58" Type="http://schemas.openxmlformats.org/officeDocument/2006/relationships/hyperlink" Target="https://xbrl.efrag.org/eng/interactive/vsme/vsme-standard-annex-i/2025-07-30-ec-rec/62/a" TargetMode="External"/><Relationship Id="rId74" Type="http://schemas.openxmlformats.org/officeDocument/2006/relationships/hyperlink" Target="https://xbrl.efrag.org/eng/interactive/vsme/vsme-guidance-annex-ii/2025-07-30-ec-rec/174" TargetMode="External"/><Relationship Id="rId79" Type="http://schemas.openxmlformats.org/officeDocument/2006/relationships/hyperlink" Target="https://xbrl.efrag.org/eng/interactive/vsme/vsme-guidance-annex-ii/2025-07-30-ec-rec/174" TargetMode="External"/><Relationship Id="rId5" Type="http://schemas.openxmlformats.org/officeDocument/2006/relationships/hyperlink" Target="https://xbrl.efrag.org/e-esrs/2024-12-17-efrag-vsme.xhtml" TargetMode="External"/><Relationship Id="rId14" Type="http://schemas.openxmlformats.org/officeDocument/2006/relationships/hyperlink" Target="https://xbrl.efrag.org/e-esrs/2024-12-17-efrag-vsme.xhtml" TargetMode="External"/><Relationship Id="rId22" Type="http://schemas.openxmlformats.org/officeDocument/2006/relationships/hyperlink" Target="https://xbrl.efrag.org/eng/interactive/vsme/vsme-standard-annex-i/2025-07-30-ec-rec/61/c" TargetMode="External"/><Relationship Id="rId27" Type="http://schemas.openxmlformats.org/officeDocument/2006/relationships/hyperlink" Target="https://xbrl.efrag.org/eng/interactive/vsme/vsme-standard-annex-i/2025-07-30-ec-rec/62" TargetMode="External"/><Relationship Id="rId30" Type="http://schemas.openxmlformats.org/officeDocument/2006/relationships/hyperlink" Target="https://xbrl.efrag.org/eng/interactive/vsme/vsme-standard-annex-i/2025-07-30-ec-rec/39/a" TargetMode="External"/><Relationship Id="rId35" Type="http://schemas.openxmlformats.org/officeDocument/2006/relationships/hyperlink" Target="https://xbrl.efrag.org/eng/interactive/vsme/vsme-standard-annex-i/2025-07-30-ec-rec/42/c" TargetMode="External"/><Relationship Id="rId43" Type="http://schemas.openxmlformats.org/officeDocument/2006/relationships/hyperlink" Target="https://xbrl.efrag.org/eng/interactive/vsme/vsme-guidance-annex-ii/2025-07-30-ec-rec/118" TargetMode="External"/><Relationship Id="rId48" Type="http://schemas.openxmlformats.org/officeDocument/2006/relationships/hyperlink" Target="https://xbrl.efrag.org/eng/interactive/vsme/vsme-standard-annex-i/2025-07-30-ec-rec/59" TargetMode="External"/><Relationship Id="rId56" Type="http://schemas.openxmlformats.org/officeDocument/2006/relationships/hyperlink" Target="https://xbrl.efrag.org/eng/interactive/vsme/vsme-standard-annex-i/2025-07-30-ec-rec/61/b" TargetMode="External"/><Relationship Id="rId64" Type="http://schemas.openxmlformats.org/officeDocument/2006/relationships/hyperlink" Target="https://xbrl.efrag.org/eng/interactive/vsme/vsme-guidance-annex-ii/2025-07-30-ec-rec/173" TargetMode="External"/><Relationship Id="rId69" Type="http://schemas.openxmlformats.org/officeDocument/2006/relationships/hyperlink" Target="https://xbrl.efrag.org/eng/interactive/vsme/vsme-guidance-annex-ii/2025-07-30-ec-rec/173" TargetMode="External"/><Relationship Id="rId77" Type="http://schemas.openxmlformats.org/officeDocument/2006/relationships/hyperlink" Target="https://xbrl.efrag.org/eng/interactive/vsme/vsme-guidance-annex-ii/2025-07-30-ec-rec/174" TargetMode="External"/><Relationship Id="rId8" Type="http://schemas.openxmlformats.org/officeDocument/2006/relationships/hyperlink" Target="https://xbrl.efrag.org/e-esrs/2024-12-17-efrag-vsme.xhtml" TargetMode="External"/><Relationship Id="rId51" Type="http://schemas.openxmlformats.org/officeDocument/2006/relationships/hyperlink" Target="https://xbrl.efrag.org/eng/interactive/vsme/vsme-standard-annex-i/2025-07-30-ec-rec/61/b" TargetMode="External"/><Relationship Id="rId72" Type="http://schemas.openxmlformats.org/officeDocument/2006/relationships/hyperlink" Target="https://xbrl.efrag.org/eng/interactive/vsme/vsme-guidance-annex-ii/2025-07-30-ec-rec/173" TargetMode="External"/><Relationship Id="rId80" Type="http://schemas.openxmlformats.org/officeDocument/2006/relationships/hyperlink" Target="https://xbrl.efrag.org/eng/interactive/vsme/vsme-guidance-annex-ii/2025-07-30-ec-rec/174" TargetMode="External"/><Relationship Id="rId85" Type="http://schemas.openxmlformats.org/officeDocument/2006/relationships/hyperlink" Target="https://xbrl.efrag.org/eng/interactive/vsme/vsme-guidance-annex-ii/2025-07-30-ec-rec/119-126" TargetMode="External"/><Relationship Id="rId3" Type="http://schemas.openxmlformats.org/officeDocument/2006/relationships/hyperlink" Target="https://xbrl.efrag.org/e-esrs/2024-12-17-efrag-vsme.xhtml" TargetMode="External"/><Relationship Id="rId12" Type="http://schemas.openxmlformats.org/officeDocument/2006/relationships/hyperlink" Target="https://xbrl.efrag.org/e-esrs/2024-12-17-efrag-vsme.xhtml" TargetMode="External"/><Relationship Id="rId17" Type="http://schemas.openxmlformats.org/officeDocument/2006/relationships/hyperlink" Target="https://xbrl.efrag.org/eng/interactive/vsme/vsme-standard-annex-i/2025-07-30-ec-rec/60" TargetMode="External"/><Relationship Id="rId25" Type="http://schemas.openxmlformats.org/officeDocument/2006/relationships/hyperlink" Target="https://xbrl.efrag.org/eng/interactive/vsme/vsme-guidance-annex-ii/2025-07-30-ec-rec/174" TargetMode="External"/><Relationship Id="rId33" Type="http://schemas.openxmlformats.org/officeDocument/2006/relationships/hyperlink" Target="https://xbrl.efrag.org/eng/interactive/vsme/vsme-standard-annex-i/2025-07-30-ec-rec/40" TargetMode="External"/><Relationship Id="rId38" Type="http://schemas.openxmlformats.org/officeDocument/2006/relationships/hyperlink" Target="https://xbrl.efrag.org/eng/interactive/vsme/vsme-standard-annex-i/2025-07-30-ec-rec/62/c" TargetMode="External"/><Relationship Id="rId46" Type="http://schemas.openxmlformats.org/officeDocument/2006/relationships/hyperlink" Target="https://xbrl.efrag.org/eng/interactive/vsme/vsme-standard-annex-i/2025-07-30-ec-rec/41/a" TargetMode="External"/><Relationship Id="rId59" Type="http://schemas.openxmlformats.org/officeDocument/2006/relationships/hyperlink" Target="https://xbrl.efrag.org/eng/interactive/vsme/vsme-standard-annex-i/2025-07-30-ec-rec/62/a" TargetMode="External"/><Relationship Id="rId67" Type="http://schemas.openxmlformats.org/officeDocument/2006/relationships/hyperlink" Target="https://xbrl.efrag.org/eng/interactive/vsme/vsme-guidance-annex-ii/2025-07-30-ec-rec/173" TargetMode="External"/><Relationship Id="rId20" Type="http://schemas.openxmlformats.org/officeDocument/2006/relationships/hyperlink" Target="https://xbrl.efrag.org/eng/interactive/vsme/vsme-standard-annex-i/2025-07-30-ec-rec/61/a" TargetMode="External"/><Relationship Id="rId41" Type="http://schemas.openxmlformats.org/officeDocument/2006/relationships/hyperlink" Target="https://xbrl.efrag.org/eng/interactive/vsme/vsme-guidance-annex-ii/2025-07-30-ec-rec/110-117" TargetMode="External"/><Relationship Id="rId54" Type="http://schemas.openxmlformats.org/officeDocument/2006/relationships/hyperlink" Target="https://xbrl.efrag.org/eng/interactive/vsme/vsme-standard-annex-i/2025-07-30-ec-rec/61/b" TargetMode="External"/><Relationship Id="rId62" Type="http://schemas.openxmlformats.org/officeDocument/2006/relationships/hyperlink" Target="https://xbrl.efrag.org/eng/interactive/vsme/vsme-standard-annex-i/2025-07-30-ec-rec/62/a" TargetMode="External"/><Relationship Id="rId70" Type="http://schemas.openxmlformats.org/officeDocument/2006/relationships/hyperlink" Target="https://xbrl.efrag.org/eng/interactive/vsme/vsme-guidance-annex-ii/2025-07-30-ec-rec/173" TargetMode="External"/><Relationship Id="rId75" Type="http://schemas.openxmlformats.org/officeDocument/2006/relationships/hyperlink" Target="https://xbrl.efrag.org/eng/interactive/vsme/vsme-guidance-annex-ii/2025-07-30-ec-rec/174" TargetMode="External"/><Relationship Id="rId83" Type="http://schemas.openxmlformats.org/officeDocument/2006/relationships/hyperlink" Target="https://xbrl.efrag.org/eng/interactive/vsme/vsme-guidance-annex-ii/2025-07-30-ec-rec/119-126" TargetMode="External"/><Relationship Id="rId88" Type="http://schemas.openxmlformats.org/officeDocument/2006/relationships/hyperlink" Target="https://xbrl.efrag.org/eng/interactive/vsme/vsme-guidance-annex-ii/2025-07-30-ec-rec/167-169" TargetMode="External"/><Relationship Id="rId1" Type="http://schemas.openxmlformats.org/officeDocument/2006/relationships/hyperlink" Target="https://xbrl.efrag.org/e-esrs/2024-12-17-efrag-vsme.xhtml" TargetMode="External"/><Relationship Id="rId6" Type="http://schemas.openxmlformats.org/officeDocument/2006/relationships/hyperlink" Target="https://xbrl.efrag.org/e-esrs/2024-12-17-efrag-vsme.xhtml" TargetMode="External"/><Relationship Id="rId15" Type="http://schemas.openxmlformats.org/officeDocument/2006/relationships/hyperlink" Target="https://xbrl.efrag.org/e-esrs/2024-12-17-efrag-vsme.xhtml" TargetMode="External"/><Relationship Id="rId23" Type="http://schemas.openxmlformats.org/officeDocument/2006/relationships/hyperlink" Target="https://xbrl.efrag.org/eng/interactive/vsme/vsme-guidance-annex-ii/2025-07-30-ec-rec/173" TargetMode="External"/><Relationship Id="rId28" Type="http://schemas.openxmlformats.org/officeDocument/2006/relationships/hyperlink" Target="https://xbrl.efrag.org/eng/interactive/vsme/vsme-standard-annex-i/2025-07-30-ec-rec/62/b" TargetMode="External"/><Relationship Id="rId36" Type="http://schemas.openxmlformats.org/officeDocument/2006/relationships/hyperlink" Target="https://xbrl.efrag.org/eng/interactive/vsme/vsme-standard-annex-i/2025-07-30-ec-rec/42/d" TargetMode="External"/><Relationship Id="rId49" Type="http://schemas.openxmlformats.org/officeDocument/2006/relationships/hyperlink" Target="https://xbrl.efrag.org/eng/interactive/vsme/vsme-standard-annex-i/2025-07-30-ec-rec/59" TargetMode="External"/><Relationship Id="rId57" Type="http://schemas.openxmlformats.org/officeDocument/2006/relationships/hyperlink" Target="https://xbrl.efrag.org/eng/interactive/vsme/vsme-standard-annex-i/2025-07-30-ec-rec/62/a" TargetMode="External"/><Relationship Id="rId10" Type="http://schemas.openxmlformats.org/officeDocument/2006/relationships/hyperlink" Target="https://xbrl.efrag.org/eng/interactive/vsme/vsme-guidance-annex-ii/2025-07-30-ec-rec/119-126" TargetMode="External"/><Relationship Id="rId31" Type="http://schemas.openxmlformats.org/officeDocument/2006/relationships/hyperlink" Target="https://xbrl.efrag.org/eng/interactive/vsme/vsme-standard-annex-i/2025-07-30-ec-rec/39/b" TargetMode="External"/><Relationship Id="rId44" Type="http://schemas.openxmlformats.org/officeDocument/2006/relationships/hyperlink" Target="https://xbrl.efrag.org/eng/interactive/vsme/vsme-guidance-annex-ii/2025-07-30-ec-rec/137-140" TargetMode="External"/><Relationship Id="rId52" Type="http://schemas.openxmlformats.org/officeDocument/2006/relationships/hyperlink" Target="https://xbrl.efrag.org/eng/interactive/vsme/vsme-standard-annex-i/2025-07-30-ec-rec/61/b" TargetMode="External"/><Relationship Id="rId60" Type="http://schemas.openxmlformats.org/officeDocument/2006/relationships/hyperlink" Target="https://xbrl.efrag.org/eng/interactive/vsme/vsme-standard-annex-i/2025-07-30-ec-rec/62/a" TargetMode="External"/><Relationship Id="rId65" Type="http://schemas.openxmlformats.org/officeDocument/2006/relationships/hyperlink" Target="https://xbrl.efrag.org/eng/interactive/vsme/vsme-guidance-annex-ii/2025-07-30-ec-rec/173" TargetMode="External"/><Relationship Id="rId73" Type="http://schemas.openxmlformats.org/officeDocument/2006/relationships/hyperlink" Target="https://xbrl.efrag.org/eng/interactive/vsme/vsme-guidance-annex-ii/2025-07-30-ec-rec/174" TargetMode="External"/><Relationship Id="rId78" Type="http://schemas.openxmlformats.org/officeDocument/2006/relationships/hyperlink" Target="https://xbrl.efrag.org/eng/interactive/vsme/vsme-guidance-annex-ii/2025-07-30-ec-rec/174" TargetMode="External"/><Relationship Id="rId81" Type="http://schemas.openxmlformats.org/officeDocument/2006/relationships/hyperlink" Target="https://xbrl.efrag.org/eng/interactive/vsme/vsme-guidance-annex-ii/2025-07-30-ec-rec/174" TargetMode="External"/><Relationship Id="rId86" Type="http://schemas.openxmlformats.org/officeDocument/2006/relationships/hyperlink" Target="https://xbrl.efrag.org/eng/interactive/vsme/vsme-guidance-annex-ii/2025-07-30-ec-rec/170-172" TargetMode="External"/><Relationship Id="rId4" Type="http://schemas.openxmlformats.org/officeDocument/2006/relationships/hyperlink" Target="https://xbrl.efrag.org/e-esrs/2024-12-17-efrag-vsme.xhtml" TargetMode="External"/><Relationship Id="rId9" Type="http://schemas.openxmlformats.org/officeDocument/2006/relationships/hyperlink" Target="https://xbrl.efrag.org/eng/interactive/vsme/vsme-standard-annex-i/2025-07-30-ec-rec/41/a" TargetMode="External"/><Relationship Id="rId13" Type="http://schemas.openxmlformats.org/officeDocument/2006/relationships/hyperlink" Target="https://xbrl.efrag.org/eng/interactive/vsme/vsme-guidance-annex-ii/2025-07-30-ec-rec/127-128" TargetMode="External"/><Relationship Id="rId18" Type="http://schemas.openxmlformats.org/officeDocument/2006/relationships/hyperlink" Target="https://xbrl.efrag.org/eng/interactive/vsme/vsme-guidance-annex-ii/2025-07-30-ec-rec/167-169" TargetMode="External"/><Relationship Id="rId39" Type="http://schemas.openxmlformats.org/officeDocument/2006/relationships/hyperlink" Target="https://xbrl.efrag.org/eng/interactive/vsme/vsme-standard-annex-i/2025-07-30-ec-rec/10" TargetMode="External"/><Relationship Id="rId34" Type="http://schemas.openxmlformats.org/officeDocument/2006/relationships/hyperlink" Target="https://xbrl.efrag.org/eng/interactive/vsme/vsme-standard-annex-i/2025-07-30-ec-rec/41/b" TargetMode="External"/><Relationship Id="rId50" Type="http://schemas.openxmlformats.org/officeDocument/2006/relationships/hyperlink" Target="https://xbrl.efrag.org/eng/interactive/vsme/vsme-standard-annex-i/2025-07-30-ec-rec/61/b" TargetMode="External"/><Relationship Id="rId55" Type="http://schemas.openxmlformats.org/officeDocument/2006/relationships/hyperlink" Target="https://xbrl.efrag.org/eng/interactive/vsme/vsme-standard-annex-i/2025-07-30-ec-rec/61/b" TargetMode="External"/><Relationship Id="rId76" Type="http://schemas.openxmlformats.org/officeDocument/2006/relationships/hyperlink" Target="https://xbrl.efrag.org/eng/interactive/vsme/vsme-guidance-annex-ii/2025-07-30-ec-rec/174" TargetMode="External"/><Relationship Id="rId7" Type="http://schemas.openxmlformats.org/officeDocument/2006/relationships/hyperlink" Target="https://xbrl.efrag.org/e-esrs/2024-12-17-efrag-vsme.xhtml" TargetMode="External"/><Relationship Id="rId71" Type="http://schemas.openxmlformats.org/officeDocument/2006/relationships/hyperlink" Target="https://xbrl.efrag.org/eng/interactive/vsme/vsme-guidance-annex-ii/2025-07-30-ec-rec/173" TargetMode="External"/><Relationship Id="rId2" Type="http://schemas.openxmlformats.org/officeDocument/2006/relationships/hyperlink" Target="https://xbrl.efrag.org/e-esrs/2024-12-17-efrag-vsme.xhtml" TargetMode="External"/><Relationship Id="rId29" Type="http://schemas.openxmlformats.org/officeDocument/2006/relationships/hyperlink" Target="https://xbrl.efrag.org/e-esrs/2024-12-17-efrag-vsme.xhtml" TargetMode="External"/><Relationship Id="rId24" Type="http://schemas.openxmlformats.org/officeDocument/2006/relationships/hyperlink" Target="https://xbrl.efrag.org/eng/interactive/vsme/vsme-standard-annex-i/2025-07-30-ec-rec/62/c" TargetMode="External"/><Relationship Id="rId40" Type="http://schemas.openxmlformats.org/officeDocument/2006/relationships/hyperlink" Target="https://xbrl.efrag.org/eng/interactive/vsme/vsme-guidance-annex-ii/2025-07-30-ec-rec/110-117" TargetMode="External"/><Relationship Id="rId45" Type="http://schemas.openxmlformats.org/officeDocument/2006/relationships/hyperlink" Target="https://xbrl.efrag.org/eng/interactive/vsme/vsme-standard-annex-i/2025-07-30-ec-rec/41/a" TargetMode="External"/><Relationship Id="rId66" Type="http://schemas.openxmlformats.org/officeDocument/2006/relationships/hyperlink" Target="https://xbrl.efrag.org/eng/interactive/vsme/vsme-guidance-annex-ii/2025-07-30-ec-rec/173" TargetMode="External"/><Relationship Id="rId87" Type="http://schemas.openxmlformats.org/officeDocument/2006/relationships/hyperlink" Target="https://xbrl.efrag.org/eng/interactive/vsme/vsme-guidance-annex-ii/2025-07-30-ec-rec/167-169" TargetMode="External"/><Relationship Id="rId61" Type="http://schemas.openxmlformats.org/officeDocument/2006/relationships/hyperlink" Target="https://xbrl.efrag.org/eng/interactive/vsme/vsme-standard-annex-i/2025-07-30-ec-rec/62/a" TargetMode="External"/><Relationship Id="rId82" Type="http://schemas.openxmlformats.org/officeDocument/2006/relationships/hyperlink" Target="https://xbrl.efrag.org/eng/interactive/vsme/vsme-guidance-annex-ii/2025-07-30-ec-rec/174" TargetMode="External"/><Relationship Id="rId19" Type="http://schemas.openxmlformats.org/officeDocument/2006/relationships/hyperlink" Target="https://xbrl.efrag.org/eng/interactive/vsme/vsme-guidance-annex-ii/2025-07-30-ec-rec/170-172"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xbrl.efrag.org/eng/interactive/vsme/vsme-guidance-annex-ii/2025-07-30-ec-rec/177/d" TargetMode="External"/><Relationship Id="rId18" Type="http://schemas.openxmlformats.org/officeDocument/2006/relationships/hyperlink" Target="https://knowledgehub.efrag.org/eng/interactive/vsme/vsme-standard-annex-i/08-2025/64" TargetMode="External"/><Relationship Id="rId26" Type="http://schemas.openxmlformats.org/officeDocument/2006/relationships/hyperlink" Target="https://xbrl.efrag.org/eng/interactive/vsme/vsme-standard-annex-i/2025-07-30-ec-rec/64" TargetMode="External"/><Relationship Id="rId3" Type="http://schemas.openxmlformats.org/officeDocument/2006/relationships/hyperlink" Target="https://xbrl.efrag.org/e-esrs/2024-12-17-efrag-vsme.xhtml" TargetMode="External"/><Relationship Id="rId21" Type="http://schemas.openxmlformats.org/officeDocument/2006/relationships/hyperlink" Target="https://xbrl.efrag.org/eng/interactive/vsme/vsme-guidance-annex-ii/2025-07-30-ec-rec/141-144" TargetMode="External"/><Relationship Id="rId34" Type="http://schemas.openxmlformats.org/officeDocument/2006/relationships/hyperlink" Target="https://xbrl.efrag.org/eng/interactive/vsme/vsme-guidance-annex-ii/2025-07-30-ec-rec/175-176" TargetMode="External"/><Relationship Id="rId7" Type="http://schemas.openxmlformats.org/officeDocument/2006/relationships/hyperlink" Target="https://xbrl.efrag.org/eng/interactive/vsme/vsme-standard-annex-i/2025-07-30-ec-rec/63/d" TargetMode="External"/><Relationship Id="rId12" Type="http://schemas.openxmlformats.org/officeDocument/2006/relationships/hyperlink" Target="https://xbrl.efrag.org/eng/interactive/vsme/vsme-guidance-annex-ii/2025-07-30-ec-rec/177/c" TargetMode="External"/><Relationship Id="rId17" Type="http://schemas.openxmlformats.org/officeDocument/2006/relationships/hyperlink" Target="https://xbrl.efrag.org/eng/interactive/vsme/vsme-standard-annex-i/2025-07-30-ec-rec/64" TargetMode="External"/><Relationship Id="rId25" Type="http://schemas.openxmlformats.org/officeDocument/2006/relationships/hyperlink" Target="https://xbrl.efrag.org/eng/interactive/vsme/vsme-standard-annex-i/2025-07-30-ec-rec/63/c" TargetMode="External"/><Relationship Id="rId33" Type="http://schemas.openxmlformats.org/officeDocument/2006/relationships/hyperlink" Target="https://xbrl.efrag.org/eng/interactive/vsme/vsme-guidance-annex-ii/2025-07-30-ec-rec/175-176" TargetMode="External"/><Relationship Id="rId2" Type="http://schemas.openxmlformats.org/officeDocument/2006/relationships/hyperlink" Target="https://xbrl.efrag.org/e-esrs/2024-12-17-efrag-vsme.xhtml" TargetMode="External"/><Relationship Id="rId16" Type="http://schemas.openxmlformats.org/officeDocument/2006/relationships/hyperlink" Target="https://xbrl.efrag.org/eng/interactive/vsme/vsme-standard-annex-i/2025-07-30-ec-rec/43" TargetMode="External"/><Relationship Id="rId20" Type="http://schemas.openxmlformats.org/officeDocument/2006/relationships/hyperlink" Target="https://xbrl.efrag.org/eng/interactive/vsme/vsme-standard-annex-i/2025-07-30-ec-rec/10" TargetMode="External"/><Relationship Id="rId29" Type="http://schemas.openxmlformats.org/officeDocument/2006/relationships/hyperlink" Target="https://xbrl.efrag.org/eng/interactive/vsme/vsme-guidance-annex-ii/2025-07-30-ec-rec/175-176" TargetMode="External"/><Relationship Id="rId1" Type="http://schemas.openxmlformats.org/officeDocument/2006/relationships/hyperlink" Target="https://xbrl.efrag.org/e-esrs/2024-12-17-efrag-vsme.xhtml" TargetMode="External"/><Relationship Id="rId6" Type="http://schemas.openxmlformats.org/officeDocument/2006/relationships/hyperlink" Target="https://xbrl.efrag.org/eng/interactive/vsme/vsme-standard-annex-i/2025-07-30-ec-rec/63/c" TargetMode="External"/><Relationship Id="rId11" Type="http://schemas.openxmlformats.org/officeDocument/2006/relationships/hyperlink" Target="https://xbrl.efrag.org/eng/interactive/vsme/vsme-guidance-annex-ii/2025-07-30-ec-rec/177/b" TargetMode="External"/><Relationship Id="rId24" Type="http://schemas.openxmlformats.org/officeDocument/2006/relationships/hyperlink" Target="https://xbrl.efrag.org/eng/interactive/vsme/vsme-standard-annex-i/2025-07-30-ec-rec/63/c" TargetMode="External"/><Relationship Id="rId32" Type="http://schemas.openxmlformats.org/officeDocument/2006/relationships/hyperlink" Target="https://xbrl.efrag.org/eng/interactive/vsme/vsme-guidance-annex-ii/2025-07-30-ec-rec/175-176" TargetMode="External"/><Relationship Id="rId5" Type="http://schemas.openxmlformats.org/officeDocument/2006/relationships/hyperlink" Target="https://xbrl.efrag.org/eng/interactive/vsme/vsme-standard-annex-i/2025-07-30-ec-rec/63/b" TargetMode="External"/><Relationship Id="rId15" Type="http://schemas.openxmlformats.org/officeDocument/2006/relationships/hyperlink" Target="https://xbrl.efrag.org/eng/interactive/vsme/vsme-guidance-annex-ii/2025-07-30-ec-rec/175-176" TargetMode="External"/><Relationship Id="rId23" Type="http://schemas.openxmlformats.org/officeDocument/2006/relationships/hyperlink" Target="https://xbrl.efrag.org/eng/interactive/vsme/vsme-standard-annex-i/2025-07-30-ec-rec/63/c" TargetMode="External"/><Relationship Id="rId28" Type="http://schemas.openxmlformats.org/officeDocument/2006/relationships/hyperlink" Target="https://xbrl.efrag.org/eng/interactive/vsme/vsme-standard-annex-i/2025-07-30-ec-rec/64" TargetMode="External"/><Relationship Id="rId10" Type="http://schemas.openxmlformats.org/officeDocument/2006/relationships/hyperlink" Target="https://xbrl.efrag.org/eng/interactive/vsme/vsme-guidance-annex-ii/2025-07-30-ec-rec/177/a" TargetMode="External"/><Relationship Id="rId19" Type="http://schemas.openxmlformats.org/officeDocument/2006/relationships/hyperlink" Target="https://xbrl.efrag.org/eng/interactive/vsme/vsme-standard-annex-i/2025-07-30-ec-rec/65" TargetMode="External"/><Relationship Id="rId31" Type="http://schemas.openxmlformats.org/officeDocument/2006/relationships/hyperlink" Target="https://xbrl.efrag.org/eng/interactive/vsme/vsme-guidance-annex-ii/2025-07-30-ec-rec/175-176" TargetMode="External"/><Relationship Id="rId4" Type="http://schemas.openxmlformats.org/officeDocument/2006/relationships/hyperlink" Target="https://xbrl.efrag.org/eng/interactive/vsme/vsme-standard-annex-i/2025-07-30-ec-rec/63/a" TargetMode="External"/><Relationship Id="rId9" Type="http://schemas.openxmlformats.org/officeDocument/2006/relationships/hyperlink" Target="https://xbrl.efrag.org/eng/interactive/vsme/vsme-guidance-annex-ii/2025-07-30-ec-rec/177/d" TargetMode="External"/><Relationship Id="rId14" Type="http://schemas.openxmlformats.org/officeDocument/2006/relationships/hyperlink" Target="https://xbrl.efrag.org/e-esrs/2024-12-17-efrag-vsme.xhtml" TargetMode="External"/><Relationship Id="rId22" Type="http://schemas.openxmlformats.org/officeDocument/2006/relationships/hyperlink" Target="https://xbrl.efrag.org/eng/interactive/vsme/vsme-guidance-annex-ii/2025-07-30-ec-rec/178-180" TargetMode="External"/><Relationship Id="rId27" Type="http://schemas.openxmlformats.org/officeDocument/2006/relationships/hyperlink" Target="https://xbrl.efrag.org/eng/interactive/vsme/vsme-standard-annex-i/2025-07-30-ec-rec/64" TargetMode="External"/><Relationship Id="rId30" Type="http://schemas.openxmlformats.org/officeDocument/2006/relationships/hyperlink" Target="https://xbrl.efrag.org/eng/interactive/vsme/vsme-guidance-annex-ii/2025-07-30-ec-rec/175-176" TargetMode="External"/><Relationship Id="rId35" Type="http://schemas.openxmlformats.org/officeDocument/2006/relationships/drawing" Target="../drawings/drawing5.xml"/><Relationship Id="rId8" Type="http://schemas.openxmlformats.org/officeDocument/2006/relationships/hyperlink" Target="https://xbrl.efrag.org/e-esrs/2024-12-17-efrag-vsme.xhtm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3BA08-EB56-4E4C-B440-D54FA8F7DF57}">
  <sheetPr codeName="Sheet1"/>
  <dimension ref="A1:R44"/>
  <sheetViews>
    <sheetView showGridLines="0" tabSelected="1" zoomScaleNormal="100" workbookViewId="0">
      <selection activeCell="B14" sqref="B14"/>
    </sheetView>
  </sheetViews>
  <sheetFormatPr baseColWidth="10" defaultColWidth="8.85546875" defaultRowHeight="15" x14ac:dyDescent="0.25"/>
  <cols>
    <col min="1" max="1" width="6" customWidth="1"/>
    <col min="2" max="2" width="56" customWidth="1"/>
    <col min="3" max="3" width="56.140625" customWidth="1"/>
    <col min="4" max="4" width="69.42578125" customWidth="1"/>
    <col min="5" max="5" width="33.5703125" customWidth="1"/>
    <col min="6" max="6" width="42.42578125" bestFit="1" customWidth="1"/>
    <col min="7" max="7" width="43.42578125" bestFit="1" customWidth="1"/>
    <col min="8" max="8" width="48.85546875" bestFit="1" customWidth="1"/>
    <col min="9" max="9" width="38.5703125" customWidth="1"/>
    <col min="10" max="10" width="45.5703125" customWidth="1"/>
    <col min="11" max="11" width="29" customWidth="1"/>
    <col min="12" max="12" width="32.42578125" customWidth="1"/>
    <col min="13" max="13" width="29.5703125" customWidth="1"/>
    <col min="14" max="14" width="21.42578125" bestFit="1" customWidth="1"/>
    <col min="15" max="15" width="11.42578125" customWidth="1"/>
    <col min="16" max="16" width="20.5703125" bestFit="1" customWidth="1"/>
    <col min="17" max="17" width="14.42578125" customWidth="1"/>
    <col min="18" max="18" width="14" bestFit="1" customWidth="1"/>
    <col min="21" max="23" width="20.5703125" bestFit="1" customWidth="1"/>
  </cols>
  <sheetData>
    <row r="1" spans="2:18" x14ac:dyDescent="0.25">
      <c r="B1" s="236" t="str">
        <f>template_label_version</f>
        <v>Version:</v>
      </c>
      <c r="C1" s="236" t="s">
        <v>0</v>
      </c>
      <c r="D1" s="236"/>
    </row>
    <row r="2" spans="2:18" x14ac:dyDescent="0.25">
      <c r="B2" s="236" t="str">
        <f>template_label_publication_date</f>
        <v>Publication date:</v>
      </c>
      <c r="C2" s="237">
        <v>45933</v>
      </c>
      <c r="D2" s="236"/>
    </row>
    <row r="3" spans="2:18" ht="35.450000000000003" customHeight="1" x14ac:dyDescent="0.25">
      <c r="B3" s="505" t="str" cm="1">
        <f t="array" aca="1" ref="B3" ca="1">IF(ISERROR(CELL("filename",A1)),"Warning: The Digital Template was developed and tested using Microsoft Excel 365. Functionality may be limited or incorrect when using other spreadsheet applications or older versions of Excel.","")</f>
        <v/>
      </c>
      <c r="C3" s="505"/>
      <c r="D3" s="236"/>
    </row>
    <row r="5" spans="2:18" x14ac:dyDescent="0.25">
      <c r="B5" s="238"/>
    </row>
    <row r="6" spans="2:18" x14ac:dyDescent="0.25">
      <c r="B6" s="238"/>
    </row>
    <row r="7" spans="2:18" x14ac:dyDescent="0.25">
      <c r="B7" s="238"/>
    </row>
    <row r="8" spans="2:18" x14ac:dyDescent="0.25">
      <c r="B8" s="238"/>
    </row>
    <row r="9" spans="2:18" x14ac:dyDescent="0.25">
      <c r="B9" s="238"/>
    </row>
    <row r="10" spans="2:18" x14ac:dyDescent="0.25">
      <c r="B10" s="55" t="str">
        <f>template_label_taxonomy_entry_point</f>
        <v>Taxonomy entry point:</v>
      </c>
      <c r="C10" s="239" t="s">
        <v>1</v>
      </c>
    </row>
    <row r="11" spans="2:18" x14ac:dyDescent="0.25">
      <c r="B11" s="55" t="str">
        <f>template_label_select_template_display_language</f>
        <v>Select Template Display Language:</v>
      </c>
      <c r="C11" s="340" t="s">
        <v>2</v>
      </c>
    </row>
    <row r="12" spans="2:18" x14ac:dyDescent="0.25">
      <c r="B12" s="55" t="str">
        <f>template_label_title_of_report</f>
        <v>Main title of the report</v>
      </c>
      <c r="C12" t="str">
        <f>template_label_main_title_of_report_text</f>
        <v xml:space="preserve">Sustainability Report </v>
      </c>
    </row>
    <row r="13" spans="2:18" x14ac:dyDescent="0.25">
      <c r="B13" s="55" t="str">
        <f>template_label_subtitle_of_report</f>
        <v>Subtitle of the report</v>
      </c>
      <c r="C13" t="str">
        <f>template_label_subtitle_of_report_text</f>
        <v>Prepared in accordance with the Voluntary Sustainability Reporting Standard for small and medium-sized undertakings (VSME), released by the European Commission on 30 July 2025.</v>
      </c>
    </row>
    <row r="14" spans="2:18" s="241" customFormat="1" ht="63.75" x14ac:dyDescent="1">
      <c r="B14" s="240" t="str">
        <f>template_label_vsme_digital_template</f>
        <v>VSME Digital Template</v>
      </c>
    </row>
    <row r="15" spans="2:18" ht="354.6" customHeight="1" x14ac:dyDescent="0.25">
      <c r="B15" s="506" t="str">
        <f>template_label_the_purpose_of_this_digital_template_is_to_illustrate_how_vsme_reporting_can_be_implemented_in_a_digital_template</f>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15" s="507"/>
      <c r="D15" s="507"/>
      <c r="E15" s="508"/>
      <c r="F15" s="242"/>
      <c r="G15" s="242"/>
      <c r="H15" s="242"/>
      <c r="I15" s="242"/>
      <c r="J15" s="242"/>
      <c r="K15" s="242"/>
      <c r="L15" s="242"/>
      <c r="M15" s="242"/>
      <c r="N15" s="242"/>
      <c r="O15" s="242"/>
      <c r="P15" s="242"/>
      <c r="Q15" s="242"/>
      <c r="R15" s="242"/>
    </row>
    <row r="16" spans="2:18" ht="20.100000000000001" customHeight="1" x14ac:dyDescent="0.25">
      <c r="B16" s="243"/>
      <c r="C16" s="243"/>
      <c r="D16" s="243"/>
      <c r="E16" s="243"/>
      <c r="F16" s="242"/>
      <c r="G16" s="242"/>
      <c r="H16" s="242"/>
      <c r="I16" s="242"/>
      <c r="J16" s="242"/>
      <c r="K16" s="242"/>
      <c r="L16" s="242"/>
      <c r="M16" s="242"/>
      <c r="N16" s="242"/>
      <c r="O16" s="242"/>
      <c r="P16" s="242"/>
      <c r="Q16" s="242"/>
      <c r="R16" s="242"/>
    </row>
    <row r="17" spans="1:18" x14ac:dyDescent="0.25">
      <c r="B17" s="238"/>
    </row>
    <row r="18" spans="1:18" ht="26.85" customHeight="1" x14ac:dyDescent="0.35">
      <c r="B18" s="244" t="str">
        <f>template_label_how_to_use_it</f>
        <v>How to use it:</v>
      </c>
      <c r="C18" s="245"/>
      <c r="D18" s="245"/>
      <c r="E18" s="246"/>
      <c r="F18" s="247"/>
      <c r="G18" s="247"/>
      <c r="H18" s="247"/>
      <c r="I18" s="247"/>
      <c r="J18" s="247"/>
      <c r="K18" s="247"/>
      <c r="L18" s="247"/>
      <c r="M18" s="247"/>
      <c r="N18" s="247"/>
      <c r="O18" s="247"/>
      <c r="P18" s="247"/>
      <c r="Q18" s="247"/>
      <c r="R18" s="247"/>
    </row>
    <row r="19" spans="1:18" ht="18.75" x14ac:dyDescent="0.25">
      <c r="B19" s="509" t="str">
        <f>template_label_0_provide_information_that_is_mandatory_in_order_to_generate_the_vsme_and_xbrl_report</f>
        <v>0. Provide information that is mandatory in order to generate the VSME and XBRL Report.</v>
      </c>
      <c r="C19" s="510"/>
      <c r="D19" s="510"/>
      <c r="E19" s="511"/>
      <c r="F19" s="248"/>
      <c r="G19" s="248"/>
      <c r="H19" s="248"/>
      <c r="I19" s="248"/>
      <c r="J19" s="248"/>
      <c r="K19" s="248"/>
      <c r="L19" s="248"/>
      <c r="M19" s="248"/>
      <c r="N19" s="248"/>
      <c r="O19" s="248"/>
      <c r="P19" s="248"/>
      <c r="Q19" s="248"/>
      <c r="R19" s="248"/>
    </row>
    <row r="20" spans="1:18" ht="59.45" customHeight="1" x14ac:dyDescent="0.25">
      <c r="B20" s="509" t="str">
        <f>template_label_1_fill_in_the_disclosures_on_the_four_worksheets</f>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C20" s="510"/>
      <c r="D20" s="510"/>
      <c r="E20" s="511"/>
      <c r="F20" s="248"/>
      <c r="G20" s="248"/>
      <c r="H20" s="248"/>
      <c r="I20" s="248"/>
      <c r="J20" s="248"/>
      <c r="K20" s="248"/>
      <c r="L20" s="248"/>
      <c r="M20" s="248"/>
      <c r="N20" s="248"/>
      <c r="O20" s="248"/>
      <c r="P20" s="248"/>
      <c r="Q20" s="248"/>
      <c r="R20" s="248"/>
    </row>
    <row r="21" spans="1:18" ht="39.6" customHeight="1" x14ac:dyDescent="0.25">
      <c r="B21" s="530" t="str">
        <f>template_label_2_find_more_information_on_the_actual_disclosure_requirements_in_the_vsme_standard</f>
        <v>2. Find more information on the actual disclosure requirements in the VSME Standard and the related guidance linked to each cell. Additional or entity-specific disclosures can be provided in each text box at the end of each worksheet.</v>
      </c>
      <c r="C21" s="531"/>
      <c r="D21" s="531"/>
      <c r="E21" s="532"/>
      <c r="F21" s="249"/>
      <c r="G21" s="249"/>
      <c r="H21" s="249"/>
      <c r="I21" s="249"/>
      <c r="J21" s="249"/>
      <c r="K21" s="249"/>
      <c r="L21" s="249"/>
      <c r="M21" s="249"/>
      <c r="N21" s="249"/>
      <c r="O21" s="249"/>
      <c r="P21" s="249"/>
      <c r="Q21" s="249"/>
      <c r="R21" s="249"/>
    </row>
    <row r="22" spans="1:18" ht="36" customHeight="1" x14ac:dyDescent="0.25">
      <c r="B22" s="509" t="str">
        <f>template_label_3_for_open_tables_like_the_list_of_subsidizers_sites_please_expand_the_groups_by_clicking_the_plus</f>
        <v>3. For open tables like the List of subsidiaries/sites, please expand the groups by clicking the plus [+] icon on the left side. If more rows are needed, they can be added by inserting them between the first and last row. The row IDs in open tables must remain unique per table.</v>
      </c>
      <c r="C22" s="510"/>
      <c r="D22" s="510"/>
      <c r="E22" s="511"/>
      <c r="F22" s="249"/>
      <c r="G22" s="249"/>
      <c r="H22" s="249"/>
      <c r="I22" s="249"/>
      <c r="J22" s="249"/>
      <c r="K22" s="249"/>
      <c r="L22" s="249"/>
      <c r="M22" s="249"/>
      <c r="N22" s="249"/>
      <c r="O22" s="249"/>
      <c r="P22" s="249"/>
      <c r="Q22" s="249"/>
      <c r="R22" s="249"/>
    </row>
    <row r="23" spans="1:18" s="250" customFormat="1" ht="18.75" x14ac:dyDescent="0.25">
      <c r="B23" s="530" t="str">
        <f>template_label_4_validate_the_data_entered_by_checking_the_validation_status</f>
        <v>4. Validate the data entered by checking the validation status. The report is considered incomplete or erroneous if the validation is fails, which might result in an invalid XBRL report.</v>
      </c>
      <c r="C23" s="531"/>
      <c r="D23" s="531"/>
      <c r="E23" s="532"/>
      <c r="F23" s="249"/>
      <c r="G23" s="249"/>
      <c r="H23" s="249"/>
      <c r="I23" s="249"/>
      <c r="J23" s="249"/>
      <c r="K23" s="249"/>
      <c r="L23" s="249"/>
      <c r="M23" s="249"/>
      <c r="N23" s="249"/>
      <c r="O23" s="249"/>
      <c r="P23" s="249"/>
      <c r="Q23" s="249"/>
      <c r="R23" s="249"/>
    </row>
    <row r="24" spans="1:18" ht="18.75" x14ac:dyDescent="0.25">
      <c r="B24" s="530" t="str">
        <f>template_label_5_convert_this_template_to_an_inline_xbrl_report</f>
        <v>5. Convert this template to an Inline XBRL report (or XBRL-JSON, XBRL-CSV), using the online converter. Pay attention to the XBRL validation performed by the validator.</v>
      </c>
      <c r="C24" s="531"/>
      <c r="D24" s="531"/>
      <c r="E24" s="532"/>
      <c r="F24" s="249"/>
      <c r="G24" s="249"/>
      <c r="H24" s="249"/>
      <c r="I24" s="249"/>
      <c r="J24" s="249"/>
      <c r="K24" s="249"/>
      <c r="L24" s="249"/>
      <c r="M24" s="249"/>
      <c r="N24" s="249"/>
      <c r="O24" s="249"/>
      <c r="P24" s="249"/>
      <c r="Q24" s="249"/>
      <c r="R24" s="249"/>
    </row>
    <row r="25" spans="1:18" ht="24.6" customHeight="1" x14ac:dyDescent="0.25">
      <c r="B25" s="518" t="str">
        <f>template_label_6_the_undertaking_may_also_upload_the_report_to_public_repositories_or_a_webpage</f>
        <v>6. The undertaking may also upload the report to public repositories or a webpage.</v>
      </c>
      <c r="C25" s="519"/>
      <c r="D25" s="519"/>
      <c r="E25" s="520"/>
      <c r="F25" s="249"/>
      <c r="G25" s="249"/>
      <c r="H25" s="249"/>
      <c r="I25" s="249"/>
      <c r="J25" s="249"/>
      <c r="K25" s="249"/>
      <c r="L25" s="249"/>
      <c r="M25" s="249"/>
      <c r="N25" s="249"/>
      <c r="O25" s="249"/>
      <c r="P25" s="249"/>
      <c r="Q25" s="249"/>
      <c r="R25" s="249"/>
    </row>
    <row r="26" spans="1:18" ht="18.75" x14ac:dyDescent="0.3">
      <c r="B26" s="247"/>
      <c r="C26" s="247"/>
      <c r="D26" s="247"/>
      <c r="E26" s="247"/>
      <c r="F26" s="247"/>
      <c r="G26" s="247"/>
      <c r="H26" s="247"/>
      <c r="I26" s="247"/>
      <c r="J26" s="247"/>
      <c r="K26" s="247"/>
      <c r="L26" s="247"/>
      <c r="M26" s="247"/>
      <c r="N26" s="247"/>
      <c r="O26" s="247"/>
      <c r="P26" s="247"/>
      <c r="Q26" s="247"/>
      <c r="R26" s="247"/>
    </row>
    <row r="27" spans="1:18" ht="36" customHeight="1" x14ac:dyDescent="0.3">
      <c r="B27" s="251" t="str">
        <f>template_label_cell_background_color_index</f>
        <v>Cell background color index:</v>
      </c>
      <c r="C27" s="247"/>
      <c r="D27" s="247"/>
      <c r="E27" s="247"/>
      <c r="F27" s="247"/>
      <c r="G27" s="247"/>
      <c r="H27" s="247"/>
      <c r="I27" s="247"/>
      <c r="J27" s="247"/>
      <c r="K27" s="247"/>
      <c r="L27" s="247"/>
      <c r="M27" s="247"/>
      <c r="N27" s="247"/>
      <c r="O27" s="247"/>
      <c r="P27" s="247"/>
      <c r="Q27" s="247"/>
      <c r="R27" s="247"/>
    </row>
    <row r="28" spans="1:18" ht="32.1" customHeight="1" x14ac:dyDescent="0.3">
      <c r="B28" s="252" t="str">
        <f>template_label_general_principles</f>
        <v>General Principles</v>
      </c>
      <c r="C28" s="515" t="str">
        <f>template_label_indicates_that_the_disclosure_is_from_the_general_principles_of_the_vsme</f>
        <v>Indicates that the disclosure is from the general principles of the VSME.</v>
      </c>
      <c r="D28" s="516"/>
      <c r="E28" s="517"/>
      <c r="F28" s="247"/>
      <c r="G28" s="247"/>
      <c r="H28" s="247"/>
      <c r="I28" s="247"/>
      <c r="J28" s="247"/>
      <c r="K28" s="247"/>
      <c r="L28" s="247"/>
      <c r="M28" s="247"/>
      <c r="N28" s="247"/>
      <c r="O28" s="247"/>
      <c r="P28" s="247"/>
      <c r="Q28" s="247"/>
      <c r="R28" s="247"/>
    </row>
    <row r="29" spans="1:18" ht="34.5" customHeight="1" x14ac:dyDescent="0.3">
      <c r="A29" s="253"/>
      <c r="B29" s="254" t="str">
        <f>template_label_basic_module</f>
        <v>Basic Module</v>
      </c>
      <c r="C29" s="515" t="str">
        <f>template_label_indicates_that_the_disclosure_is_from_the_vsme_basic_module</f>
        <v>Indicates that the disclosure is from the VSME Basic Module.</v>
      </c>
      <c r="D29" s="516"/>
      <c r="E29" s="517"/>
      <c r="F29" s="247"/>
      <c r="G29" s="255"/>
      <c r="H29" s="255"/>
      <c r="I29" s="255"/>
      <c r="J29" s="255"/>
      <c r="K29" s="255"/>
      <c r="L29" s="255"/>
      <c r="M29" s="255"/>
      <c r="N29" s="255"/>
      <c r="O29" s="255"/>
      <c r="P29" s="255"/>
      <c r="Q29" s="255"/>
      <c r="R29" s="255"/>
    </row>
    <row r="30" spans="1:18" ht="35.85" customHeight="1" x14ac:dyDescent="0.3">
      <c r="A30" s="253"/>
      <c r="B30" s="256" t="str">
        <f>template_label_comprehensive_module</f>
        <v>Comprehensive Module</v>
      </c>
      <c r="C30" s="515" t="str">
        <f>template_label_indicates_that_the_disclosure_is_from_the_vsme_comprehensive_module</f>
        <v>Indicates that the disclosure is from the VSME Comprehensive Module.</v>
      </c>
      <c r="D30" s="516"/>
      <c r="E30" s="517"/>
      <c r="F30" s="247"/>
      <c r="G30" s="255"/>
      <c r="H30" s="255"/>
      <c r="I30" s="255"/>
      <c r="J30" s="255"/>
      <c r="K30" s="255"/>
      <c r="L30" s="255"/>
      <c r="M30" s="255"/>
      <c r="N30" s="255"/>
      <c r="O30" s="255"/>
      <c r="P30" s="255"/>
      <c r="Q30" s="255"/>
      <c r="R30" s="255"/>
    </row>
    <row r="31" spans="1:18" ht="35.85" customHeight="1" x14ac:dyDescent="0.3">
      <c r="A31" s="253"/>
      <c r="B31" s="257"/>
      <c r="C31" s="512" t="str">
        <f>template_label_indicates_that_the_cell_is_automatically_calculated_and_that_no_data_entry_is_required</f>
        <v>Indicates that the cell is automatically calculated and that no data entry is required.</v>
      </c>
      <c r="D31" s="513"/>
      <c r="E31" s="514"/>
      <c r="F31" s="247"/>
      <c r="G31" s="258"/>
      <c r="H31" s="258"/>
      <c r="I31" s="258"/>
      <c r="J31" s="258"/>
      <c r="K31" s="258"/>
      <c r="L31" s="258"/>
      <c r="M31" s="258"/>
      <c r="N31" s="258"/>
      <c r="O31" s="258"/>
      <c r="P31" s="258"/>
      <c r="Q31" s="258"/>
      <c r="R31" s="258"/>
    </row>
    <row r="32" spans="1:18" ht="63" customHeight="1" x14ac:dyDescent="0.3">
      <c r="A32" s="253"/>
      <c r="B32" s="259"/>
      <c r="C32" s="512" t="str">
        <f>template_label_indicates_that_the_datapoint_often_a_condition_will_not_be_included_in_the_vsme_and_digital_xbrl_report</f>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D32" s="513"/>
      <c r="E32" s="514"/>
      <c r="F32" s="247"/>
      <c r="G32" s="258"/>
      <c r="H32" s="258"/>
      <c r="I32" s="258"/>
      <c r="J32" s="258"/>
      <c r="K32" s="258"/>
      <c r="L32" s="258"/>
      <c r="M32" s="258"/>
      <c r="N32" s="258"/>
      <c r="O32" s="258"/>
      <c r="P32" s="258"/>
      <c r="Q32" s="258"/>
      <c r="R32" s="258"/>
    </row>
    <row r="33" spans="1:18" ht="35.85" customHeight="1" x14ac:dyDescent="0.3">
      <c r="A33" s="253"/>
      <c r="B33" s="260"/>
      <c r="C33" s="512" t="str">
        <f>template_label_indicates_that_no_data_entry_is_required_unless_certain_logics_are_selected_in_the_disclosure_itself</f>
        <v>Indicates that no data entry is required unless certain logics are selected in the disclosure itself. When one of these logics is selected, then this cell will turn white.</v>
      </c>
      <c r="D33" s="513"/>
      <c r="E33" s="514"/>
      <c r="F33" s="247"/>
      <c r="G33" s="258"/>
      <c r="H33" s="258"/>
      <c r="I33" s="258"/>
      <c r="J33" s="258"/>
      <c r="K33" s="258"/>
      <c r="L33" s="258"/>
      <c r="M33" s="258"/>
      <c r="N33" s="258"/>
      <c r="O33" s="258"/>
      <c r="P33" s="258"/>
      <c r="Q33" s="258"/>
      <c r="R33" s="258"/>
    </row>
    <row r="34" spans="1:18" ht="42" x14ac:dyDescent="0.3">
      <c r="B34" s="261" t="str">
        <f>template_label_validation_missing_value_error_velue_inconsistency_invalid_url</f>
        <v>Validation MISSING VALUE/ERROR/VALUE INCONSISTENCY/INVALID URL</v>
      </c>
      <c r="C34" s="515" t="str">
        <f>template_label_indicates_that_either_data_entry_is_incorrect_in_terms_of_format_or_that_certain_information</f>
        <v>Indicates that either data entry is incorrect in terms of format or that certain information is missing in order to correctly report on the disclosure.</v>
      </c>
      <c r="D34" s="516"/>
      <c r="E34" s="517"/>
      <c r="F34" s="247"/>
      <c r="G34" s="255"/>
      <c r="H34" s="255"/>
      <c r="I34" s="255"/>
      <c r="J34" s="255"/>
      <c r="K34" s="255"/>
      <c r="L34" s="255"/>
      <c r="M34" s="255"/>
      <c r="N34" s="255"/>
      <c r="O34" s="255"/>
      <c r="P34" s="255"/>
      <c r="Q34" s="255"/>
      <c r="R34" s="255"/>
    </row>
    <row r="35" spans="1:18" ht="22.35" customHeight="1" x14ac:dyDescent="0.3">
      <c r="B35" s="262" t="s">
        <v>3</v>
      </c>
      <c r="C35" s="515" t="str">
        <f>template_label_indicates_that_data_entry_is_ok_and_the_undertaking_can_proceed_to_the_next_disclosure</f>
        <v>Indicates that data entry is OK and the undertaking can proceed to the next disclosure.</v>
      </c>
      <c r="D35" s="516"/>
      <c r="E35" s="517"/>
      <c r="F35" s="247"/>
      <c r="G35" s="255"/>
      <c r="H35" s="255"/>
      <c r="I35" s="255"/>
      <c r="J35" s="255"/>
      <c r="K35" s="255"/>
      <c r="L35" s="255"/>
      <c r="M35" s="255"/>
      <c r="N35" s="255"/>
      <c r="O35" s="255"/>
      <c r="P35" s="255"/>
      <c r="Q35" s="255"/>
      <c r="R35" s="255"/>
    </row>
    <row r="36" spans="1:18" ht="22.35" customHeight="1" x14ac:dyDescent="0.3">
      <c r="B36" s="263"/>
      <c r="C36" s="515" t="str">
        <f>template_label_no_value_can_be_entered_in_the_cell</f>
        <v>No value can be entered in the cell.</v>
      </c>
      <c r="D36" s="516"/>
      <c r="E36" s="517"/>
      <c r="F36" s="247"/>
      <c r="G36" s="255"/>
      <c r="H36" s="255"/>
      <c r="I36" s="255"/>
      <c r="J36" s="255"/>
      <c r="K36" s="255"/>
      <c r="L36" s="255"/>
      <c r="M36" s="255"/>
      <c r="N36" s="255"/>
      <c r="O36" s="255"/>
      <c r="P36" s="255"/>
      <c r="Q36" s="255"/>
      <c r="R36" s="255"/>
    </row>
    <row r="37" spans="1:18" ht="45.75" customHeight="1" x14ac:dyDescent="0.3">
      <c r="A37" s="253"/>
      <c r="B37" s="264" t="s">
        <v>4</v>
      </c>
      <c r="C37" s="512" t="str">
        <f>template_label_lists_can_be_expanded_using_the_plus_button_on_the_left</f>
        <v>Lists can be expanded using the plus [+] button on the left. If the number of rows is not sufficient, additional rows can be added by right clicking the second row and selecting "Insert row".</v>
      </c>
      <c r="D37" s="513"/>
      <c r="E37" s="514"/>
      <c r="F37" s="247"/>
      <c r="G37" s="265"/>
      <c r="H37" s="265"/>
      <c r="I37" s="265"/>
      <c r="J37" s="265"/>
      <c r="K37" s="265"/>
      <c r="L37" s="265"/>
      <c r="M37" s="265"/>
      <c r="N37" s="265"/>
      <c r="O37" s="265"/>
      <c r="P37" s="265"/>
      <c r="Q37" s="265"/>
      <c r="R37" s="265"/>
    </row>
    <row r="42" spans="1:18" x14ac:dyDescent="0.25">
      <c r="B42" s="527"/>
      <c r="C42" s="528"/>
      <c r="D42" s="528"/>
      <c r="E42" s="529"/>
    </row>
    <row r="43" spans="1:18" ht="97.35" customHeight="1" x14ac:dyDescent="0.35">
      <c r="B43" s="521" t="str">
        <f>template_label_efrag_is_funded_by_the_european_union_through_the_single_market_programme</f>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C43" s="522"/>
      <c r="D43" s="522"/>
      <c r="E43" s="523"/>
    </row>
    <row r="44" spans="1:18" ht="21" x14ac:dyDescent="0.35">
      <c r="B44" s="524" t="str">
        <f>template_label_reproduction_and_use_rights_are_strictly_limited</f>
        <v>Reproduction and use rights are strictly limited. For further details please contact efragsecretariat@efrag.org</v>
      </c>
      <c r="C44" s="525"/>
      <c r="D44" s="525"/>
      <c r="E44" s="526"/>
    </row>
  </sheetData>
  <sheetProtection algorithmName="SHA-512" hashValue="ElTBfWy+CRvNUSVze1P2toqrrFfiXE7KohAe4Nl4IiHPemEB3eBlQERFJj+C0V6kr0xKrLzZdTTV+4wn0YjsDg==" saltValue="AqGhSjwZlDDqRpBuxphd3w==" spinCount="100000" sheet="1" objects="1" scenarios="1" selectLockedCells="1" selectUnlockedCells="1"/>
  <mergeCells count="22">
    <mergeCell ref="B43:E43"/>
    <mergeCell ref="B44:E44"/>
    <mergeCell ref="B42:E42"/>
    <mergeCell ref="B20:E20"/>
    <mergeCell ref="B21:E21"/>
    <mergeCell ref="B22:E22"/>
    <mergeCell ref="B23:E23"/>
    <mergeCell ref="B24:E24"/>
    <mergeCell ref="C32:E32"/>
    <mergeCell ref="C31:E31"/>
    <mergeCell ref="C28:E28"/>
    <mergeCell ref="C29:E29"/>
    <mergeCell ref="C30:E30"/>
    <mergeCell ref="B3:C3"/>
    <mergeCell ref="B15:E15"/>
    <mergeCell ref="B19:E19"/>
    <mergeCell ref="C33:E33"/>
    <mergeCell ref="C37:E37"/>
    <mergeCell ref="C36:E36"/>
    <mergeCell ref="C35:E35"/>
    <mergeCell ref="C34:E34"/>
    <mergeCell ref="B25:E25"/>
  </mergeCells>
  <phoneticPr fontId="3" type="noConversion"/>
  <dataValidations count="1">
    <dataValidation type="list" allowBlank="1" showInputMessage="1" showErrorMessage="1" sqref="C11" xr:uid="{84072F8F-C3B1-4691-857F-F393651AC632}">
      <formula1>template_translations</formula1>
    </dataValidation>
  </dataValidations>
  <hyperlinks>
    <hyperlink ref="C10" r:id="rId1" xr:uid="{BA49B7BA-5C2F-4722-8E1F-D5D51385FAB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04F5-C921-4BA0-AB27-BE7B509778F1}">
  <dimension ref="B1:C68"/>
  <sheetViews>
    <sheetView zoomScaleNormal="100" workbookViewId="0">
      <selection activeCell="B14" sqref="B14"/>
    </sheetView>
  </sheetViews>
  <sheetFormatPr baseColWidth="10" defaultColWidth="8.85546875" defaultRowHeight="15" x14ac:dyDescent="0.25"/>
  <cols>
    <col min="1" max="1" width="3.5703125" style="7" customWidth="1"/>
    <col min="2" max="2" width="98.140625" style="7" customWidth="1"/>
    <col min="3" max="3" width="50.5703125" style="7" customWidth="1"/>
    <col min="4" max="16384" width="8.85546875" style="7"/>
  </cols>
  <sheetData>
    <row r="1" spans="2:3" ht="15.75" thickBot="1" x14ac:dyDescent="0.3"/>
    <row r="2" spans="2:3" ht="18.75" x14ac:dyDescent="0.3">
      <c r="B2" s="266"/>
      <c r="C2" s="267" t="str">
        <f>template_label_overall_validation_status_validation</f>
        <v>Overall Validation Status</v>
      </c>
    </row>
    <row r="3" spans="2:3" ht="31.5" x14ac:dyDescent="0.5">
      <c r="B3" s="308" t="str">
        <f>template_label_table_of_contents_validation</f>
        <v>Table of Contents</v>
      </c>
      <c r="C3" s="268" t="str" cm="1">
        <f t="array" ref="C3">IF(SUMPRODUCT(--((C5:C68&lt;&gt;template_label_ok)*(C5:C68&lt;&gt;"-")*(C5:C68&lt;&gt;""))) &gt; 0, template_label_incomplete, template_label_complete)</f>
        <v>COMPLETE</v>
      </c>
    </row>
    <row r="4" spans="2:3" ht="18.75" x14ac:dyDescent="0.25">
      <c r="B4" s="269" t="str">
        <f>template_label_contents_grouping_follows_templates_framework</f>
        <v>Contents grouping follows template's framework</v>
      </c>
      <c r="C4" s="270" t="str">
        <f>template_label_specific_content_validation_status_validation</f>
        <v>Specific Content Validation Status</v>
      </c>
    </row>
    <row r="5" spans="2:3" x14ac:dyDescent="0.25">
      <c r="B5" s="271" t="str">
        <f>template_label_general_information_validation</f>
        <v>General Information</v>
      </c>
      <c r="C5" s="272"/>
    </row>
    <row r="6" spans="2:3" x14ac:dyDescent="0.25">
      <c r="B6" s="273" t="str">
        <f>template_label_information_on_the_report_necessary_for_xbrl_validation</f>
        <v>· Information on the report necessary for  XBRL</v>
      </c>
      <c r="C6" s="274" t="str">
        <f>IF(
    AND(
        COUNTIF('General Information'!F3:F12, template_label_missing_value) &gt; 0,
        COUNTIF('General Information'!F3:F12, template_label_error) = 0
    ),
    template_label_missing_value,
    IF(
        AND(
            COUNTIF('General Information'!F3:F12, template_label_error) &gt; 0,
            COUNTIF('General Information'!F3:F12, template_label_missing_value) = 0
        ),
        template_label_value_inconsistency,
        IF(
            AND(
                COUNTIF('General Information'!F3:F12, template_label_error) &gt; 0,
                COUNTIF('General Information'!F3:F12, template_label_missing_value) &gt; 0
            ),
            template_label_error_plus_value_inconsistency,
            template_label_ok
        )
    )
)</f>
        <v>OK</v>
      </c>
    </row>
    <row r="7" spans="2:3" x14ac:dyDescent="0.25">
      <c r="B7" s="275" t="str">
        <f>template_label_information_on_previous_reporting_period_validation</f>
        <v>· Information on previous reporting period</v>
      </c>
      <c r="C7" s="274" t="str">
        <f>IF(COUNTIF('General Information'!F18:F29, template_label_missing_value) &gt; 0, template_label_missing_value,
IF(COUNTIF('General Information'!F18:F29, template_label_invalid_url
 ) &gt; 0, template_label_invalid_url,
IF(COUNTIF('General Information'!F18:F29, template_label_ok) &gt; 0, template_label_ok, "-")))</f>
        <v>-</v>
      </c>
    </row>
    <row r="8" spans="2:3" ht="18.75" x14ac:dyDescent="0.3">
      <c r="B8" s="309" t="str">
        <f>template_label_basic_module_validation</f>
        <v>Basic Module</v>
      </c>
      <c r="C8" s="276"/>
    </row>
    <row r="9" spans="2:3" x14ac:dyDescent="0.25">
      <c r="B9" s="271" t="str">
        <f>template_label_general_information_validation</f>
        <v>General Information</v>
      </c>
      <c r="C9" s="272"/>
    </row>
    <row r="10" spans="2:3" x14ac:dyDescent="0.25">
      <c r="B10" s="277" t="str">
        <f>template_label_b1_basis_for_preparation_validation</f>
        <v>· B1 - Basis for Preparation</v>
      </c>
      <c r="C10" s="274" t="str">
        <f>IF(COUNTIF(C11:C14,template_label_error_plus_missing_value_plus_value_inconsistency)&gt;0,template_label_error_plus_missing_value_plus_value_inconsistency,
IF(COUNTIF(C11:C14,template_label_error_plus_value_inconsistency)&gt;0,template_label_error_plus_value_inconsistency,
IF(COUNTIF(C11:C14,template_label_error_plus_missing_value)&gt;0,template_label_error_plus_missing_value,
IF(COUNTIF(C11:C14,template_label_error)&gt;0,template_label_error,
IF(COUNTIF(C11:C14,template_label_missing_value_plus_value_inconsistency)&gt;0,template_label_missing_value_plus_value_inconsistency,
IF(COUNTIF(C11:C14,template_label_value_inconsistency)&gt;0,template_label_value_inconsistency,
IF(COUNTIF(C11:C14,template_label_missing_value)&gt;0,template_label_missing_value,
IF(COUNTIF(C11:C14,template_label_ok)=ROWS(C11:C14),template_label_ok,
IF(COUNTIF(C11:C14,"-")=ROWS(C11:C14),"-",
template_label_ok)))))))))</f>
        <v>OK</v>
      </c>
    </row>
    <row r="11" spans="2:3" x14ac:dyDescent="0.25">
      <c r="B11" s="307" t="str">
        <f>template_label_basis_for_preparation_and_other_undertakings_general_information_validation</f>
        <v>Basis for Preparation and other undertaking's general information</v>
      </c>
      <c r="C11" s="274" t="str">
        <f>IF(
    AND(
        COUNTIF('General Information'!F32:F65, template_label_missing_value) &gt; 0,
        COUNTIF('General Information'!F32:F65, template_label_value_inconsistency) = 0
    ),
    template_label_missing_value,
    IF(
        AND(
            COUNTIF('General Information'!F32:F65, template_label_value_inconsistency) &gt; 0,
            COUNTIF('General Information'!F32:F65, template_label_missing_value) = 0
        ),
        template_label_value_inconsistency,
        IF(
            AND(
                COUNTIF('General Information'!F32:F65, template_label_value_inconsistency) &gt; 0,
                COUNTIF('General Information'!F32:F65, template_label_missing_value) &gt; 0
            ),
            template_label_error_plus_value_inconsistency,
            template_label_ok
        )
    )
)</f>
        <v>OK</v>
      </c>
    </row>
    <row r="12" spans="2:3" x14ac:dyDescent="0.25">
      <c r="B12" s="307" t="str">
        <f>template_label_list_of_subsidiaries_validation</f>
        <v>List of subsidiaries</v>
      </c>
      <c r="C12" s="274" t="str">
        <f>IF(
    COUNTIF('General Information'!F70:F94, template_label_missing_value) &gt; 0,
    template_label_missing_value,
    IF(
        COUNTIF('General Information'!F70:F94, template_label_ok) &gt; 0,
        template_label_ok,
        "-"
    )
)</f>
        <v>OK</v>
      </c>
    </row>
    <row r="13" spans="2:3" x14ac:dyDescent="0.25">
      <c r="B13" s="307" t="str">
        <f>template_label_disclosure_of_sustainability_related_certifications_or_labels_validation</f>
        <v>Disclosure of sustainability-related certification(s) or label(s)</v>
      </c>
      <c r="C13" s="274" t="str">
        <f>IF(
    COUNTIF('General Information'!I100, template_label_missing_value) &gt; 0,
    template_label_missing_value,
    IF(
        COUNTIF('General Information'!I100, template_label_ok) &gt; 0,
        template_label_ok,
        "-"
    )
)</f>
        <v>OK</v>
      </c>
    </row>
    <row r="14" spans="2:3" x14ac:dyDescent="0.25">
      <c r="B14" s="307" t="str">
        <f>template_label_list_of_sites_validation</f>
        <v>List of site(s)</v>
      </c>
      <c r="C14" s="274" t="str">
        <f>IF(
    COUNTIF('General Information'!I109:I133, template_label_missing_value) &gt; 0,
    template_label_missing_value,
    IF(
        COUNTIF('General Information'!I109:I133, template_label_ok) &gt; 0,
        template_label_ok,
        "-"
    )
)</f>
        <v>OK</v>
      </c>
    </row>
    <row r="15" spans="2:3" x14ac:dyDescent="0.25">
      <c r="B15" s="310" t="str">
        <f>template_label_b2_practices_policies_and_future_initiatives_for_transitioning_towards_a_more_sustainable_economy_validation</f>
        <v>· B2 - Practices, policies and future initiatives for transitioning towards a more sustainable economy</v>
      </c>
      <c r="C15" s="274" t="str">
        <f>IF(
    COUNTIF(C16:C17, template_label_error_plus_missing_value_plus_value_inconsistency) &gt; 0,
    template_label_error_plus_missing_value_plus_value_inconsistency,
    IF(
        COUNTIF(C16:C17, template_label_error_plus_value_inconsistency) &gt; 0,
        template_label_error_plus_value_inconsistency,
        IF(
            COUNTIF(C16:C17, template_label_error_plus_missing_value) &gt; 0,
            template_label_error_plus_missing_value,
            IF(
                COUNTIF(C16:C17, template_label_error) &gt; 0,
                template_label_error,
                IF(
                    COUNTIF(C16:C17, template_label_missing_value_plus_value_inconsistency) &gt; 0,
                    template_label_missing_value_plus_value_inconsistency,
                    IF(
                        COUNTIF(C16:C17, template_label_value_inconsistency) &gt; 0,
                        template_label_value_inconsistency,
                        IF(
                            COUNTIF(C16:C17, template_label_missing_value) &gt; 0,
                            template_label_missing_value,
                            IF(
                                COUNTIF(C16:C17, template_label_ok) = ROWS(C16:C17),
                                template_label_ok,
                                IF(
                                    COUNTIF(C16:C17, "-") = ROWS(C16:C17),
                                    "-",
                                    template_label_ok
                                )
                            )
                        )
                    )
                )
            )
        )
    )
)</f>
        <v>OK</v>
      </c>
    </row>
    <row r="16" spans="2:3" x14ac:dyDescent="0.25">
      <c r="B16" s="307" t="str">
        <f>template_label_practices_policies_and_future_initiatives_for_transitioning_towards_a_more_sustainable_economy_validation</f>
        <v>Practices, policies and future initiatives for transitioning towards a more sustainable economy</v>
      </c>
      <c r="C16" s="274" t="str">
        <f>IF(
    COUNTIF('General Information'!P140, template_label_missing_value) &gt; 0,
    template_label_missing_value,
    IF(
        COUNTIF('General Information'!P140, template_label_ok) &gt; 0,
        template_label_ok,
        "-"
    )
)</f>
        <v>OK</v>
      </c>
    </row>
    <row r="17" spans="2:3" x14ac:dyDescent="0.25">
      <c r="B17" s="307" t="str">
        <f>template_label_cooperative_specific_disclosures_validation</f>
        <v>Cooperative specific disclosures</v>
      </c>
      <c r="C17" s="274" t="str" cm="1">
        <f t="array" ref="C17">IF(OR('General Information'!E144:E146=template_label_ok),template_label_ok,"-")</f>
        <v>-</v>
      </c>
    </row>
    <row r="18" spans="2:3" x14ac:dyDescent="0.25">
      <c r="B18" s="278" t="str">
        <f>template_label_environmental_disclosures_validation</f>
        <v>Environmental Disclosures</v>
      </c>
      <c r="C18" s="272"/>
    </row>
    <row r="19" spans="2:3" x14ac:dyDescent="0.25">
      <c r="B19" s="312" t="str">
        <f>template_label_b3_energy_and_greenhouse_gas_emissions_validation</f>
        <v>· B3 - Energy and greenhouse gas emissions</v>
      </c>
      <c r="C19" s="274" t="str">
        <f>IF(COUNTIF(C20:C23,template_label_error_plus_missing_value_plus_value_inconsistency)&gt;0,template_label_error_plus_missing_value_plus_value_inconsistency,
IF(COUNTIF(C20:C23,template_label_error_plus_value_inconsistency)&gt;0,template_label_error_plus_value_inconsistency,
IF(COUNTIF(C20:C23,template_label_error_plus_missing_value)&gt;0,template_label_error_plus_missing_value,
IF(COUNTIF(C20:C23,template_label_error)&gt;0,template_label_error,
IF(COUNTIF(C20:C23,template_label_missing_value_plus_value_inconsistency)&gt;0,template_label_missing_value_plus_value_inconsistency,
IF(COUNTIF(C20:C23,template_label_value_inconsistency)&gt;0,template_label_value_inconsistency,
IF(COUNTIF(C20:C23,template_label_missing_value)&gt;0,template_label_missing_value,
IF(COUNTIF(C20:C23,template_label_ok)=ROWS(C20:C23),template_label_ok,
IF(COUNTIF(C20:C23,"-")=ROWS(C20:C23),"-",
template_label_ok)))))))))</f>
        <v>OK</v>
      </c>
    </row>
    <row r="20" spans="2:3" x14ac:dyDescent="0.25">
      <c r="B20" s="311" t="str">
        <f>template_label_total_energy_consumption_in_mwh_validation</f>
        <v>Total Energy Consumption (in MWh)</v>
      </c>
      <c r="C20" s="274" t="str">
        <f>IF(COUNTIF('Environmental Disclosures'!L5,template_label_missing_value)&gt;0,template_label_missing_value,
IF(COUNTIF('Environmental Disclosures'!L5,template_label_ok)&gt;0,template_label_ok,"-"))</f>
        <v>OK</v>
      </c>
    </row>
    <row r="21" spans="2:3" x14ac:dyDescent="0.25">
      <c r="B21" s="311" t="str">
        <f>template_label_breakdown_of_energy_consumption_in_mwh_validation</f>
        <v>Breakdown of energy consumption (in MWh)</v>
      </c>
      <c r="C21" s="279" t="str">
        <f>IF(
AND(
COUNTIF('Environmental Disclosures'!L12:L14,template_label_missing_value)&gt;0,
COUNTIF('Environmental Disclosures'!L12:L14,template_label_value_inconsistency)=0
),
template_label_missing_value,
IF(
AND(
COUNTIF('Environmental Disclosures'!L12:L14,template_label_value_inconsistency)&gt;0,
COUNTIF('Environmental Disclosures'!L12:L14,template_label_missing_value)=0
),
template_label_value_inconsistency,
IF(
AND(
COUNTIF('Environmental Disclosures'!L12:L14,template_label_value_inconsistency)&gt;0,
COUNTIF('Environmental Disclosures'!L12:L14,template_label_missing_value)&gt;0
),
template_label_error_plus_value_inconsistency,
IF(
COUNTA('Environmental Disclosures'!L12:L14,"-"),
"-",
template_label_ok
)
)
))</f>
        <v>-</v>
      </c>
    </row>
    <row r="22" spans="2:3" x14ac:dyDescent="0.25">
      <c r="B22" s="311" t="str">
        <f>template_label_estimated_greenhouse_gas_emissions_considering_the_ghg_protocol_version_2004_in_tco2e_validation</f>
        <v>Estimated Greenhouse Gas Emissions considering the GHG Protocol Version 2004 (in tCO2e)</v>
      </c>
      <c r="C22" s="274" t="str">
        <f>IF(COUNTIF('Environmental Disclosures'!L21:L44,template_label_missing_value)&gt;0,template_label_missing_value,
IF(COUNTIF('Environmental Disclosures'!L21:L44,template_label_ok)&gt;0,template_label_ok,"-"))</f>
        <v>OK</v>
      </c>
    </row>
    <row r="23" spans="2:3" x14ac:dyDescent="0.25">
      <c r="B23" s="311" t="str">
        <f>template_label_greenhouse_gas_emission_intensity_per_turnover_validation</f>
        <v>Greenhouse gas emission intensity per turnover</v>
      </c>
      <c r="C23" s="279" t="str">
        <f>IF(C22=template_label_ok,template_label_ok,"-")</f>
        <v>OK</v>
      </c>
    </row>
    <row r="24" spans="2:3" x14ac:dyDescent="0.25">
      <c r="B24" s="273" t="str">
        <f>template_label_b4_pollution_of_air_water_and_soil_validation</f>
        <v>· B4 - Pollution of air, water and soil</v>
      </c>
      <c r="C24" s="274" t="str">
        <f>IF(COUNTIF('Environmental Disclosures'!L75:L119,template_label_invalid_url)&gt;0,
   template_label_invalid_url,
IF(AND(COUNTIF('Environmental Disclosures'!L75:L119,template_label_missing_value)&gt;0,
       COUNTIF('Environmental Disclosures'!L75:L119,template_label_value_inconsistency)&gt;0),
   template_label_missing_value_plus_value_inconsistency,
IF(COUNTIF('Environmental Disclosures'!L75:L119,template_label_missing_value)&gt;0,
   template_label_missing_value,
IF(COUNTIF('Environmental Disclosures'!L75:L119,template_label_value_inconsistency)&gt;0,
   template_label_value_inconsistency,
IF(COUNTIF('Environmental Disclosures'!L75:L119,template_label_ok)&gt;0,
   template_label_ok,
"-")))))</f>
        <v>-</v>
      </c>
    </row>
    <row r="25" spans="2:3" x14ac:dyDescent="0.25">
      <c r="B25" s="273" t="str">
        <f>template_label_b5_biodiversity_validation</f>
        <v>· B5 - Biodiversity</v>
      </c>
      <c r="C25" s="274" t="str">
        <f>IF(COUNTIF(C26:C27,template_label_error_plus_missing_value_plus_value_inconsistency)&gt;0,template_label_error_plus_missing_value_plus_value_inconsistency,
IF(COUNTIF(C26:C27,template_label_error_plus_value_inconsistency)&gt;0,template_label_error_plus_value_inconsistency,
IF(COUNTIF(C26:C27,template_label_error_plus_missing_value)&gt;0,template_label_error_plus_missing_value,
IF(COUNTIF(C26:C27,template_label_error)&gt;0,template_label_error,
IF(COUNTIF(C26:C27,template_label_missing_value_plus_value_inconsistency)&gt;0,template_label_missing_value_plus_value_inconsistency,
IF(COUNTIF(C26:C27,template_label_value_inconsistency)&gt;0,template_label_value_inconsistency,
IF(COUNTIF(C26:C27,template_label_missing_value)&gt;0,template_label_missing_value,
IF(COUNTIF(C26:C27,template_label_ok)=ROWS(C26:C27),template_label_ok,
IF(COUNTIF(C26:C27,"-")=ROWS(C26:C27),"-",
template_label_ok)))))))))</f>
        <v>-</v>
      </c>
    </row>
    <row r="26" spans="2:3" x14ac:dyDescent="0.25">
      <c r="B26" s="311" t="str">
        <f>template_label_sites_in_biodiversity_sensitive_areas_validation</f>
        <v>Sites in biodiversity sensitive areas</v>
      </c>
      <c r="C26" s="274" t="str">
        <f>IF(AND(
        COUNTIF('Environmental Disclosures'!D128:D153,template_label_ok) + COUNTIF('Environmental Disclosures'!L126:L153,template_label_ok) &gt; 0,
        COUNTIF('Environmental Disclosures'!D128:D153,template_label_missing_value) + COUNTIF('Environmental Disclosures'!L126:L153,template_label_missing_value) = 0,
        COUNTIF('Environmental Disclosures'!D128:D153,template_label_value_inconsistency) + COUNTIF('Environmental Disclosures'!L126:L153,template_label_value_inconsistency) = 0),
    template_label_ok,
    IF(AND(
           COUNTIF('Environmental Disclosures'!D128:D153,template_label_missing_value) + COUNTIF('Environmental Disclosures'!L126:L153,template_label_missing_value) &gt; 0,
           COUNTIF('Environmental Disclosures'!D128:D153,template_label_value_inconsistency) + COUNTIF('Environmental Disclosures'!L126:L153,template_label_value_inconsistency) = 0),
        template_label_missing_value,
        IF(AND(
               COUNTIF('Environmental Disclosures'!D128:D153,template_label_value_inconsistency) + COUNTIF('Environmental Disclosures'!L126:L153,template_label_value_inconsistency) &gt; 0,
               COUNTIF('Environmental Disclosures'!D128:D153,template_label_missing_value) + COUNTIF('Environmental Disclosures'!L126:L153,template_label_missing_value) = 0),
            template_label_value_inconsistency,
            IF(AND(
                   COUNTIF('Environmental Disclosures'!D128:D153,template_label_value_inconsistency) + COUNTIF('Environmental Disclosures'!L126:L153,template_label_value_inconsistency) &gt; 0,
                   COUNTIF('Environmental Disclosures'!D128:D153,template_label_missing_value) + COUNTIF('Environmental Disclosures'!L126:L153,template_label_missing_value) &gt; 0),
                template_label_missing_value_plus_value_inconsistency,
                "-"
            )
        )
    )
)</f>
        <v>-</v>
      </c>
    </row>
    <row r="27" spans="2:3" x14ac:dyDescent="0.25">
      <c r="B27" s="311" t="str">
        <f>template_label_biodiversity_land_use_validation</f>
        <v>Biodiversity - Land-use</v>
      </c>
      <c r="C27" s="274" t="str">
        <f>IF(
AND(
COUNTIF('Environmental Disclosures'!G159:G164,template_label_missing_value)&gt;0,
COUNTIF('Environmental Disclosures'!G159:G164,template_label_value_inconsistency)=0,
COUNTIF('Environmental Disclosures'!G159:G164,template_label_ok)&gt;=0
),
template_label_missing_value,
IF(
AND(
COUNTIF('Environmental Disclosures'!G159:G164,template_label_value_inconsistency)&gt;0,
COUNTIF('Environmental Disclosures'!G159:G164,template_label_missing_value)=0,
COUNTIF('Environmental Disclosures'!G159:G164,template_label_ok)&gt;=0
),
template_label_value_inconsistency,
IF(
AND(
COUNTIF('Environmental Disclosures'!G159:G164,template_label_value_inconsistency)&gt;0,
COUNTIF('Environmental Disclosures'!G159:G164,template_label_missing_value)&gt;0,
COUNTIF('Environmental Disclosures'!G159:G164,template_label_ok)&gt;=0
),
template_label_missing_value_plus_value_inconsistency,
IF(
AND(
COUNTIF('Environmental Disclosures'!G159:G164,template_label_value_inconsistency)=0,
COUNTIF('Environmental Disclosures'!G159:G164,template_label_missing_value)=0,
COUNTIF('Environmental Disclosures'!G159:G164,template_label_ok)&gt;0
),
template_label_ok,
"-"
)
)
))</f>
        <v>-</v>
      </c>
    </row>
    <row r="28" spans="2:3" x14ac:dyDescent="0.25">
      <c r="B28" s="273" t="str">
        <f>template_label_b6_water_validation</f>
        <v>· B6 - Water</v>
      </c>
      <c r="C28" s="274" t="str">
        <f>IF(COUNTIF(C29:C30,template_label_error_plus_missing_value_plus_value_inconsistency)&gt;0,template_label_error_plus_missing_value_plus_value_inconsistency,
IF(COUNTIF(C29:C30,template_label_error_plus_value_inconsistency)&gt;0,template_label_error_plus_value_inconsistency,
IF(COUNTIF(C29:C30,template_label_error_plus_missing_value)&gt;0,template_label_error_plus_missing_value,
IF(COUNTIF(C29:C30,template_label_error)&gt;0,template_label_error,
IF(COUNTIF(C29:C30,template_label_missing_value_plus_value_inconsistency)&gt;0,template_label_missing_value_plus_value_inconsistency,
IF(COUNTIF(C29:C30,template_label_value_inconsistency)&gt;0,template_label_value_inconsistency,
IF(COUNTIF(C29:C30,template_label_missing_value)&gt;0,template_label_missing_value,
IF(COUNTIF(C29:C30,template_label_ok)=ROWS(C29:C30),template_label_ok,
IF(COUNTIF(C29:C30,"-")=ROWS(C29:C30),"-",
template_label_ok)))))))))</f>
        <v>OK</v>
      </c>
    </row>
    <row r="29" spans="2:3" x14ac:dyDescent="0.25">
      <c r="B29" s="311" t="str">
        <f>template_label_water_withdrawal_validation</f>
        <v>Water Withdrawal</v>
      </c>
      <c r="C29" s="274" t="str">
        <f>IF(COUNTIF('Environmental Disclosures'!E169:F170, template_label_missing_value) &gt; 0,
    template_label_missing_value,
    IF(COUNTIF('Environmental Disclosures'!E169:F170, template_label_ok) &gt; 0,
        template_label_ok,
        "-"))</f>
        <v>OK</v>
      </c>
    </row>
    <row r="30" spans="2:3" x14ac:dyDescent="0.25">
      <c r="B30" s="311" t="str">
        <f>template_label_water_consumption_validation</f>
        <v>Water Consumption</v>
      </c>
      <c r="C30" s="274" t="str">
        <f>IF(COUNTIF('Environmental Disclosures'!E176:F176, template_label_missing_value) &gt; 0,
    template_label_missing_value,
    IF(COUNTIF('Environmental Disclosures'!E176:F176, template_label_ok) &gt; 0,
        template_label_ok,
        "-"))</f>
        <v>-</v>
      </c>
    </row>
    <row r="31" spans="2:3" x14ac:dyDescent="0.25">
      <c r="B31" s="273" t="str">
        <f>template_label_b7_resource_use_circular_economy_and_waste_management_validation</f>
        <v>· B7 - Resource use, circular economy and waste management</v>
      </c>
      <c r="C31" s="274" t="str">
        <f>IF(COUNTIF(C32:C34, template_label_error_plus_missing_value_plus_value_inconsistency) &gt; 0, template_label_error_plus_missing_value_plus_value_inconsistency,
IF(COUNTIF(C32:C34, template_label_error_plus_value_inconsistency) &gt; 0, template_label_error_plus_value_inconsistency,
IF(COUNTIF(C32:C34, template_label_error_plus_missing_value) &gt; 0, template_label_error_plus_missing_value,
IF(COUNTIF(C32:C34, template_label_error) &gt; 0, template_label_error,
IF(COUNTIF(C32:C34, template_label_missing_value_plus_value_inconsistency) &gt; 0, template_label_missing_value_plus_value_inconsistency,
IF(COUNTIF(C32:C34, template_label_value_inconsistency) &gt; 0, template_label_value_inconsistency,
IF(COUNTIF(C32:C34, template_label_missing_value) &gt; 0, template_label_missing_value,
IF(COUNTIF(C32:C34, template_label_ok) = ROWS(C32:C34), template_label_ok,
IF(COUNTIF(C32:C34, "-") = ROWS(C32:C34), "-",
template_label_ok)))))))))</f>
        <v>OK</v>
      </c>
    </row>
    <row r="32" spans="2:3" x14ac:dyDescent="0.25">
      <c r="B32" s="311" t="str">
        <f>template_label_description_of_circular_economy_principles_validation</f>
        <v>Description of circular economy principles</v>
      </c>
      <c r="C32" s="274" t="str">
        <f>IF(
AND(
COUNTIF('Environmental Disclosures'!H182:I183, template_label_missing_value) &gt; 0,
COUNTIF('Environmental Disclosures'!H182:I183, template_label_value_inconsistency) = 0,
COUNTIF('Environmental Disclosures'!H182:I183, template_label_ok) &gt;= 0
),
template_label_missing_value,
IF(
AND(
COUNTIF('Environmental Disclosures'!H182:I183, template_label_value_inconsistency) &gt; 0,
COUNTIF('Environmental Disclosures'!H182:I183, template_label_missing_value) = 0,
COUNTIF('Environmental Disclosures'!H182:I183, template_label_ok) &gt;= 0
),
template_label_value_inconsistency,
IF(
AND(
COUNTIF('Environmental Disclosures'!H182:I183, template_label_value_inconsistency) &gt; 0,
COUNTIF('Environmental Disclosures'!H182:I183, template_label_missing_value) &gt; 0,
COUNTIF('Environmental Disclosures'!H182:I183, template_label_ok) &gt;= 0
),
template_label_missing_value_plus_value_inconsistency,
IF(
AND(
COUNTIF('Environmental Disclosures'!H182:I183, template_label_value_inconsistency) = 0,
COUNTIF('Environmental Disclosures'!H182:I183, template_label_missing_value) = 0,
COUNTIF('Environmental Disclosures'!H182:I183, template_label_ok) &gt; 0
),
template_label_ok,
"-"
)
)
))</f>
        <v>OK</v>
      </c>
    </row>
    <row r="33" spans="2:3" x14ac:dyDescent="0.25">
      <c r="B33" s="311" t="str">
        <f>template_label_waste_generated_validation</f>
        <v>Waste generated</v>
      </c>
      <c r="C33" s="274" t="str">
        <f>IF(
    AND(
        COUNTIF('Environmental Disclosures'!M189:M204, template_label_error) &gt; 0,
        COUNTIF('Environmental Disclosures'!M189:M204, template_label_missing_value) &gt; 0,
        COUNTIF('Environmental Disclosures'!M189:M204, template_label_value_inconsistency) &gt; 0
    ),
    template_label_error_plus_missing_value_plus_value_inconsistency,
IF(
    AND(
        COUNTIF('Environmental Disclosures'!M189:M204, template_label_error) &gt; 0,
        COUNTIF('Environmental Disclosures'!M189:M204, template_label_value_inconsistency) &gt; 0,
        COUNTIF('Environmental Disclosures'!M189:M204, template_label_missing_value) = 0
    ),
    template_label_error_plus_value_inconsistency,
IF(
    AND(
        COUNTIF('Environmental Disclosures'!M189:M204, template_label_error) &gt; 0,
        COUNTIF('Environmental Disclosures'!M189:M204, template_label_missing_value) &gt; 0,
        COUNTIF('Environmental Disclosures'!M189:M204, template_label_value_inconsistency) = 0
    ),
    template_label_error_plus_missing_value,
IF(
    AND(
        COUNTIF('Environmental Disclosures'!M189:M204, template_label_missing_value) &gt; 0,
        COUNTIF('Environmental Disclosures'!M189:M204, template_label_value_inconsistency) &gt; 0,
        COUNTIF('Environmental Disclosures'!M189:M204, template_label_error) = 0
    ),
    template_label_missing_value_plus_value_inconsistency,
IF(
    AND(
        COUNTIF('Environmental Disclosures'!M189:M204, template_label_error) &gt; 0,
        COUNTIF('Environmental Disclosures'!M189:M204, template_label_missing_value) = 0,
        COUNTIF('Environmental Disclosures'!M189:M204, template_label_value_inconsistency) = 0
    ),
    template_label_error,
IF(
    AND(
        COUNTIF('Environmental Disclosures'!M189:M204, template_label_missing_value) &gt; 0,
        COUNTIF('Environmental Disclosures'!M189:M204, template_label_error) = 0,
        COUNTIF('Environmental Disclosures'!M189:M204, template_label_value_inconsistency) = 0
    ),
    template_label_missing_value,
IF(
    AND(
        COUNTIF('Environmental Disclosures'!M189:M204, template_label_value_inconsistency) &gt; 0,
        COUNTIF('Environmental Disclosures'!M189:M204, template_label_error) = 0,
        COUNTIF('Environmental Disclosures'!M189:M204, template_label_missing_value) = 0
    ),
    template_label_value_inconsistency,
IF(
    AND(
        COUNTIF('Environmental Disclosures'!M189:M204, template_label_error) = 0,
        COUNTIF('Environmental Disclosures'!M189:M204, template_label_missing_value) = 0,
        COUNTIF('Environmental Disclosures'!M189:M204, template_label_value_inconsistency) = 0,
        COUNTIF('Environmental Disclosures'!M189:M204, template_label_ok) &gt; 0
    ),
    template_label_ok,
"-"
))))))))</f>
        <v>OK</v>
      </c>
    </row>
    <row r="34" spans="2:3" x14ac:dyDescent="0.25">
      <c r="B34" s="311" t="str">
        <f>template_label_annual_mass_flow_of_relevant_materials_used_validation</f>
        <v>Annual mass-flow of relevant materials used</v>
      </c>
      <c r="C34" s="274" t="str">
        <f>IF(COUNTIF('Environmental Disclosures'!K216:K230, template_label_missing_value) &gt; 0,
    template_label_missing_value,
    IF(COUNTIF('Environmental Disclosures'!K216:K230, template_label_ok) &gt; 0,
        template_label_ok,
        "-"))</f>
        <v>OK</v>
      </c>
    </row>
    <row r="35" spans="2:3" x14ac:dyDescent="0.25">
      <c r="B35" s="278" t="str">
        <f>template_label_social_disclosures_validation</f>
        <v>Social Disclosures</v>
      </c>
      <c r="C35" s="272"/>
    </row>
    <row r="36" spans="2:3" x14ac:dyDescent="0.25">
      <c r="B36" s="312" t="str">
        <f>template_label_b8_workforce_general_characteristics_validation</f>
        <v>· B8 - Workforce - General characteristics</v>
      </c>
      <c r="C36" s="274" t="str">
        <f>IF(COUNTIF(C37:C40, template_label_error_plus_missing_value_plus_value_inconsistency) &gt; 0, template_label_error_plus_missing_value_plus_value_inconsistency,
IF(COUNTIF(C37:C40, template_label_error_plus_value_inconsistency) &gt; 0, template_label_error_plus_value_inconsistency,
IF(COUNTIF(C37:C40, template_label_error_plus_missing_value) &gt; 0, template_label_error_plus_missing_value,
IF(COUNTIF(C37:C40, template_label_error) &gt; 0, template_label_error,
IF(COUNTIF(C37:C40, template_label_missing_value_plus_value_inconsistency) &gt; 0, template_label_missing_value_plus_value_inconsistency,
IF(COUNTIF(C37:C40, template_label_value_inconsistency) &gt; 0, template_label_value_inconsistency,
IF(COUNTIF(C37:C40, template_label_missing_value) &gt; 0, template_label_missing_value,
IF(COUNTIF(C37:C40, template_label_ok) = ROWS(C37:C40), template_label_ok,
IF(COUNTIF(C37:C40, "-") = ROWS(C37:C40), "-",
template_label_ok)))))))))</f>
        <v>OK</v>
      </c>
    </row>
    <row r="37" spans="2:3" x14ac:dyDescent="0.25">
      <c r="B37" s="311" t="str">
        <f>template_label_type_of_contract_validation</f>
        <v>Type of contract</v>
      </c>
      <c r="C37" s="274" t="str">
        <f>IF(COUNTIF('Social Disclosures'!H10, template_label_missing_value) &gt; 0,
    template_label_missing_value,
    IF(COUNTIF('Social Disclosures'!H10, template_label_ok) &gt; 0,
        template_label_ok,
        "-"))</f>
        <v>OK</v>
      </c>
    </row>
    <row r="38" spans="2:3" x14ac:dyDescent="0.25">
      <c r="B38" s="311" t="str">
        <f>template_label_gender_validation</f>
        <v>Gender</v>
      </c>
      <c r="C38" s="274" t="str">
        <f>IF(COUNTIF('Social Disclosures'!H18:H21, template_label_missing_value) &gt; 0,
    template_label_missing_value,
    IF(COUNTIF('Social Disclosures'!H18:H21, template_label_ok) &gt; 0,
        template_label_ok,
        "-"))</f>
        <v>OK</v>
      </c>
    </row>
    <row r="39" spans="2:3" x14ac:dyDescent="0.25">
      <c r="B39" s="311" t="str">
        <f>template_label_country_of_employment_validation</f>
        <v>Country of employment</v>
      </c>
      <c r="C39" s="274" t="str">
        <f>IF(COUNTIF('Social Disclosures'!I29:I32, template_label_missing_value) &gt; 0,
    template_label_missing_value,
    IF(COUNTIF('Social Disclosures'!I29:I32, template_label_ok) &gt; 0,
        template_label_ok,
        "-"))</f>
        <v>OK</v>
      </c>
    </row>
    <row r="40" spans="2:3" x14ac:dyDescent="0.25">
      <c r="B40" s="311" t="str">
        <f>template_label_turnover_rate_validation</f>
        <v>Turnover rate</v>
      </c>
      <c r="C40" s="274" t="str">
        <f>IF(COUNTIF('Social Disclosures'!I38:I40, template_label_missing_value) &gt; 0,
    template_label_missing_value,
    IF(COUNTIF('Social Disclosures'!I38:I40, template_label_ok) &gt; 0,
        template_label_ok,
        "-"))</f>
        <v>OK</v>
      </c>
    </row>
    <row r="41" spans="2:3" x14ac:dyDescent="0.25">
      <c r="B41" s="273" t="str">
        <f>template_label_b9_workforce_health_and_safety_validation</f>
        <v>· B9 - Workforce – Health and safety</v>
      </c>
      <c r="C41" s="274" t="str">
        <f>IF(COUNTIF('Social Disclosures'!I44:I48, template_label_missing_value) &gt; 0,
    template_label_missing_value,
    IF(COUNTIF('Social Disclosures'!I44:I48, template_label_ok) &gt; 0,
        template_label_ok,
        "-"))</f>
        <v>OK</v>
      </c>
    </row>
    <row r="42" spans="2:3" x14ac:dyDescent="0.25">
      <c r="B42" s="275" t="str">
        <f>template_label_b10_workforce_remuneration_collective_bargaining_and_training_validation</f>
        <v>· B10 - Workforce – Remuneration, collective bargaining and training</v>
      </c>
      <c r="C42" s="274" t="str">
        <f>IF(COUNTIF('Social Disclosures'!I58:I61, template_label_missing_value) &gt; 0,
    template_label_missing_value,
    IF(COUNTIF('Social Disclosures'!I58:I61, template_label_ok) &gt; 0,
        template_label_ok,
        "-"))</f>
        <v>OK</v>
      </c>
    </row>
    <row r="43" spans="2:3" x14ac:dyDescent="0.25">
      <c r="B43" s="278" t="str">
        <f>template_label_governance_disclosures_validation</f>
        <v>Governance Disclosures</v>
      </c>
      <c r="C43" s="272"/>
    </row>
    <row r="44" spans="2:3" x14ac:dyDescent="0.25">
      <c r="B44" s="275" t="str">
        <f>template_label_b11_convictions_and_fines_for_corruption_and_bribery_validation</f>
        <v>· B11 - Convictions and fines for corruption and bribery</v>
      </c>
      <c r="C44" s="274" t="str">
        <f>IF(COUNTIF('Governance Disclosures'!I6:I7, template_label_missing_value) &gt; 0,
    template_label_missing_value,
    IF(COUNTIF('Governance Disclosures'!I6:I7, template_label_ok) &gt; 0,
        template_label_ok,
        "-"))</f>
        <v>-</v>
      </c>
    </row>
    <row r="45" spans="2:3" ht="18.75" x14ac:dyDescent="0.3">
      <c r="B45" s="309" t="str">
        <f>template_label_comprehensive_module_validation</f>
        <v>Comprehensive Module</v>
      </c>
      <c r="C45" s="276"/>
    </row>
    <row r="46" spans="2:3" x14ac:dyDescent="0.25">
      <c r="B46" s="271" t="str">
        <f>template_label_general_information_validation</f>
        <v>General Information</v>
      </c>
      <c r="C46" s="272"/>
    </row>
    <row r="47" spans="2:3" x14ac:dyDescent="0.25">
      <c r="B47" s="310" t="str">
        <f>template_label_c1_strategy_business_model_and_sustainability_related_initiatives_validation</f>
        <v>· C1 - Strategy: Business Model and Sustainability – Related Initiatives</v>
      </c>
      <c r="C47" s="274" t="str">
        <f>IF(COUNTIF('General Information'!H155:H161, template_label_missing_value) &gt; 0,
    template_label_missing_value,
    IF(COUNTIF('General Information'!H155:H161, template_label_ok) &gt; 0,
        template_label_ok,
        "-"))</f>
        <v>OK</v>
      </c>
    </row>
    <row r="48" spans="2:3" ht="30" x14ac:dyDescent="0.25">
      <c r="B48" s="310" t="str">
        <f>template_label_c2_description_of_practices_policies_and_future_initiatives_for_transitioning_towards_a_more_sustainable_economy_validation</f>
        <v>· C2 - Description of practices, policies and future initiatives for transitioning towards a more sustainable economy</v>
      </c>
      <c r="C48" s="274" t="str">
        <f>IF(COUNTIF('General Information'!H149:H151, template_label_missing_value) &gt; 0,
    template_label_missing_value,
    IF(COUNTIF('General Information'!H149:H151, template_label_ok) &gt; 0,
        template_label_ok,
        "-"))</f>
        <v>OK</v>
      </c>
    </row>
    <row r="49" spans="2:3" x14ac:dyDescent="0.25">
      <c r="B49" s="278" t="str">
        <f>template_label_environmental_disclosures_validation</f>
        <v>Environmental Disclosures</v>
      </c>
      <c r="C49" s="272"/>
    </row>
    <row r="50" spans="2:3" x14ac:dyDescent="0.25">
      <c r="B50" s="312" t="str">
        <f>template_label_c3_ghg_reduction_targets_and_climate_transition_validation</f>
        <v>· C3 - GHG reduction targets and climate transition</v>
      </c>
      <c r="C50" s="274" t="str">
        <f>IF(COUNTIF(C51:C53, template_label_error_plus_missing_value_plus_value_inconsistency) &gt; 0, template_label_error_plus_missing_value_plus_value_inconsistency,
IF(COUNTIF(C51:C53, template_label_error_plus_value_inconsistency) &gt; 0, template_label_error_plus_value_inconsistency,
IF(COUNTIF(C51:C53, template_label_error_plus_missing_value) &gt; 0, template_label_error_plus_missing_value,
IF(COUNTIF(C51:C53, template_label_error) &gt; 0, template_label_error,
IF(COUNTIF(C51:C53, template_label_missing_value_plus_value_inconsistency) &gt; 0, template_label_missing_value_plus_value_inconsistency,
IF(COUNTIF(C51:C53, template_label_value_inconsistency) &gt; 0, template_label_value_inconsistency,
IF(COUNTIF(C51:C53, template_label_missing_value) &gt; 0, template_label_missing_value,
IF(AND(
       COUNTIFS(C51:C53, "&lt;&gt;OK", C51:C53, "&lt;&gt;-") = 0,
       COUNTIF(C51:C53, template_label_ok) &gt; 0
   ), template_label_ok,
IF(COUNTIF(C51:C53, "-") = ROWS(C51:C53), "-",
"")))))))))</f>
        <v>OK</v>
      </c>
    </row>
    <row r="51" spans="2:3" x14ac:dyDescent="0.25">
      <c r="B51" s="311" t="str">
        <f>template_label_ghg_reduction_targets_in_tc02e_validation</f>
        <v>GHG reduction targets (in tC02e)</v>
      </c>
      <c r="C51" s="274" t="str">
        <f>IF(AND('General Information'!E32 = "Option A (Basic Module only)",
        COUNTA('Environmental Disclosures'!G21:G24) = 0),
    "-",
IF(COUNTIF('Environmental Disclosures'!L52, template_label_missing_value) &gt; 0,
    template_label_missing_value,
IF(COUNTIF('Environmental Disclosures'!L52, template_label_ok) &gt; 0,
    template_label_ok,
"-")))</f>
        <v>OK</v>
      </c>
    </row>
    <row r="52" spans="2:3" x14ac:dyDescent="0.25">
      <c r="B52" s="311" t="str">
        <f>template_label_disclosure_of_list_of_main_actions_the_entity_seeks_in_order_to_achieve_its_targets_validation</f>
        <v>Disclosure of list of main actions the entity seeks in order  to achieve its targets</v>
      </c>
      <c r="C52" s="274" t="str">
        <f>IF(COUNTIF('Environmental Disclosures'!L52, template_label_missing_value) &gt; 0,
    template_label_missing_value,
    IF(COUNTIF('Environmental Disclosures'!L52, template_label_ok) &gt; 0,
        template_label_ok,
        "-"))</f>
        <v>OK</v>
      </c>
    </row>
    <row r="53" spans="2:3" x14ac:dyDescent="0.25">
      <c r="B53" s="311" t="str">
        <f>template_label_transition_plan_for_undertakings_operating_in_high_climate_impact_sectors_validation</f>
        <v>Transition plan for undertakings operating in high climate impact sectors</v>
      </c>
      <c r="C53" s="274" t="str">
        <f>IF(
AND(
COUNTIF('Environmental Disclosures'!L57:L59, template_label_missing_value) &gt; 0,
COUNTIF('Environmental Disclosures'!L57:L59, template_label_error) = 0,
COUNTIF('Environmental Disclosures'!L57:L59, template_label_ok) &gt;= 0
),
template_label_missing_value,
IF(
AND(
COUNTIF('Environmental Disclosures'!L57:L59, template_label_error) &gt; 0,
COUNTIF('Environmental Disclosures'!L57:L59, template_label_missing_value) = 0,
COUNTIF('Environmental Disclosures'!L57:L59, template_label_ok) &gt;= 0
),
template_label_error,
IF(
AND(
COUNTIF('Environmental Disclosures'!L57:L59, template_label_error) &gt; 0,
COUNTIF('Environmental Disclosures'!L57:L59, template_label_missing_value) &gt; 0,
COUNTIF('Environmental Disclosures'!L57:L59, template_label_ok) &gt;= 0
),
template_label_error_plus_missing_value,
IF(
AND(
COUNTIF('Environmental Disclosures'!L57:L59, template_label_error) = 0,
COUNTIF('Environmental Disclosures'!L57:L59, template_label_missing_value) = 0,
COUNTIF('Environmental Disclosures'!L57:L59, template_label_ok) &gt; 0
),
template_label_ok,
"-"
)
)
))</f>
        <v>OK</v>
      </c>
    </row>
    <row r="54" spans="2:3" x14ac:dyDescent="0.25">
      <c r="B54" s="273" t="str">
        <f>template_label_c4_climate_risks_validation</f>
        <v>· C4 - Climate risks</v>
      </c>
      <c r="C54" s="274" t="str">
        <f>IF(COUNTIF('Environmental Disclosures'!L236:L240, template_label_missing_value) &gt; 0,
    template_label_missing_value,
    IF(COUNTIF('Environmental Disclosures'!L236:L240, template_label_ok) &gt; 0,
        template_label_ok,
        "-"))</f>
        <v>-</v>
      </c>
    </row>
    <row r="55" spans="2:3" x14ac:dyDescent="0.25">
      <c r="B55" s="278" t="str">
        <f>template_label_social_disclosures_validation</f>
        <v>Social Disclosures</v>
      </c>
      <c r="C55" s="272"/>
    </row>
    <row r="56" spans="2:3" x14ac:dyDescent="0.25">
      <c r="B56" s="273" t="str">
        <f>template_label_c5_additional_general_workforce_characteristics_validation</f>
        <v>· C5 - Additional (general) workforce characteristics</v>
      </c>
      <c r="C56" s="274" t="str">
        <f>IF(COUNTIF('Social Disclosures'!I66:I70, template_label_ok) &gt; 0,
    template_label_ok,
    "-")</f>
        <v>OK</v>
      </c>
    </row>
    <row r="57" spans="2:3" x14ac:dyDescent="0.25">
      <c r="B57" s="273" t="str">
        <f>template_label_c6_additional_own_workforce_information_human_rights_policies_and_processes_validation</f>
        <v>· C6 - Additional own workforce information - Human rights policies and processes</v>
      </c>
      <c r="C57" s="274" t="str">
        <f>IF(
AND(
COUNTIF('Social Disclosures'!I73:I82, template_label_missing_value) &gt; 0,
COUNTIF('Social Disclosures'!I73:I82, template_label_value_inconsistency) = 0,
COUNTIF('Social Disclosures'!I73:I82, template_label_ok) &gt;= 0
),
template_label_missing_value,
IF(
AND(
COUNTIF('Social Disclosures'!I73:I82, template_label_value_inconsistency) &gt; 0,
COUNTIF('Social Disclosures'!I73:I82, template_label_missing_value) = 0,
COUNTIF('Social Disclosures'!I73:I82, template_label_ok) &gt;= 0
),
template_label_value_inconsistency,
IF(
AND(
COUNTIF('Social Disclosures'!I73:I82, template_label_value_inconsistency) &gt; 0,
COUNTIF('Social Disclosures'!I73:I82, template_label_missing_value) &gt; 0,
COUNTIF('Social Disclosures'!I73:I82, template_label_ok) &gt;= 0
),
template_label_missing_value_plus_value_inconsistency,
IF(
AND(
COUNTIF('Social Disclosures'!I73:I82, template_label_value_inconsistency) = 0,
COUNTIF('Social Disclosures'!I73:I82, template_label_missing_value) = 0,
COUNTIF('Social Disclosures'!I73:I82, template_label_ok) &gt; 0
),
template_label_ok,
"-"
)
)
))</f>
        <v>OK</v>
      </c>
    </row>
    <row r="58" spans="2:3" x14ac:dyDescent="0.25">
      <c r="B58" s="275" t="str">
        <f>template_label_c7_severe_negative_human_rights_incidents_validation</f>
        <v>· C7 - Severe negative human rights incidents</v>
      </c>
      <c r="C58" s="280" t="str">
        <f>IF(
AND(
COUNTIF('Social Disclosures'!I85:I95, template_label_missing_value) &gt; 0,
COUNTIF('Social Disclosures'!I85:I95, template_label_value_inconsistency) = 0,
COUNTIF('Social Disclosures'!I85:I95, template_label_ok) &gt;= 0
),
template_label_missing_value,
IF(
AND(
COUNTIF('Social Disclosures'!I85:I95, template_label_value_inconsistency) &gt; 0,
COUNTIF('Social Disclosures'!I85:I95, template_label_missing_value) = 0,
COUNTIF('Social Disclosures'!I85:I95, template_label_ok) &gt;= 0
),
template_label_value_inconsistency,
IF(
AND(
COUNTIF('Social Disclosures'!I85:I95, template_label_value_inconsistency) &gt; 0,
COUNTIF('Social Disclosures'!I85:I95, template_label_missing_value) &gt; 0,
COUNTIF('Social Disclosures'!I85:I95, template_label_ok) &gt;= 0
),
template_label_missing_value_plus_value_inconsistency,
IF(
AND(
COUNTIF('Social Disclosures'!I85:I95, template_label_value_inconsistency) = 0,
COUNTIF('Social Disclosures'!I85:I95, template_label_missing_value) = 0,
COUNTIF('Social Disclosures'!I85:I95, template_label_ok) &gt; 0
),
template_label_ok,
"-"
)
)
))</f>
        <v>OK</v>
      </c>
    </row>
    <row r="59" spans="2:3" x14ac:dyDescent="0.25">
      <c r="B59" s="281" t="str">
        <f>template_label_governance_disclosures_validation</f>
        <v>Governance Disclosures</v>
      </c>
      <c r="C59" s="276"/>
    </row>
    <row r="60" spans="2:3" x14ac:dyDescent="0.25">
      <c r="B60" s="277" t="str">
        <f>template_label_c8_revenues_from_certain_sectors_and_exclusion_from_eu_reference_benchmarks_validation</f>
        <v>· C8 - Revenues from certain activities and exclusion from EU reference benchmarks</v>
      </c>
      <c r="C60" s="274" t="str">
        <f>IF(COUNTIF(C61:C62, template_label_error_plus_missing_value_plus_value_inconsistency) &gt; 0, template_label_error_plus_missing_value_plus_value_inconsistency,
IF(COUNTIF(C61:C62, template_label_error_plus_value_inconsistency) &gt; 0, template_label_error_plus_value_inconsistency,
IF(COUNTIF(C61:C62, template_label_error_plus_missing_value) &gt; 0, template_label_error_plus_missing_value,
IF(COUNTIF(C61:C62, template_label_error) &gt; 0, template_label_error,
IF(COUNTIF(C61:C62, template_label_missing_value_plus_value_inconsistency) &gt; 0, template_label_missing_value_plus_value_inconsistency,
IF(COUNTIF(C61:C62, template_label_value_inconsistency) &gt; 0, template_label_value_inconsistency,
IF(COUNTIF(C61:C62, template_label_missing_value) &gt; 0, template_label_missing_value,
IF(COUNTIF(C61:C62, template_label_ok) = ROWS(C61:C62), template_label_ok,
IF(COUNTIF(C61:C62, "-") = ROWS(C61:C62), "-",
template_label_ok)))))))))</f>
        <v>OK</v>
      </c>
    </row>
    <row r="61" spans="2:3" x14ac:dyDescent="0.25">
      <c r="B61" s="307" t="str">
        <f>template_label_revenues_from_certain_sectors_validation</f>
        <v>Revenues from certain activities</v>
      </c>
      <c r="C61" s="274" t="str">
        <f>IF(COUNTIF('Governance Disclosures'!I12:I18, template_label_value_inconsistency) &gt; 0,
    template_label_value_inconsistency,
    IF(COUNTIF('Governance Disclosures'!I12:I18, template_label_ok) &gt; 0,
        template_label_ok,
        "-"))</f>
        <v>-</v>
      </c>
    </row>
    <row r="62" spans="2:3" x14ac:dyDescent="0.25">
      <c r="B62" s="307" t="str">
        <f>template_label_exclusion_from_eu_reference_benchmarks_validation</f>
        <v>Exclusion from EU reference benchmarks</v>
      </c>
      <c r="C62" s="274" t="str">
        <f>IF(COUNTIF('Governance Disclosures'!I22:I26, template_label_missing_value) &gt; 0,
    template_label_missing_value,
    IF(COUNTIF('Governance Disclosures'!I22:I26, template_label_ok) &gt; 0,
        template_label_ok,
        "-"))</f>
        <v>OK</v>
      </c>
    </row>
    <row r="63" spans="2:3" x14ac:dyDescent="0.25">
      <c r="B63" s="313" t="str">
        <f>template_label_c9_gender_diversity_ratio_in_the_governance_body_validation</f>
        <v>· C9 - Gender diversity ratio in the governance body</v>
      </c>
      <c r="C63" s="280" t="str">
        <f>IF(COUNTIF('Governance Disclosures'!I31:I32, template_label_missing_value) &gt; 0,
    template_label_missing_value,
    IF(COUNTIF('Governance Disclosures'!I31:I32, template_label_ok) &gt; 0,
        template_label_ok,
        "-"))</f>
        <v>OK</v>
      </c>
    </row>
    <row r="64" spans="2:3" x14ac:dyDescent="0.25">
      <c r="B64" s="282" t="str">
        <f>template_label_additional_disclosures_validation</f>
        <v>Additional Disclosures</v>
      </c>
      <c r="C64" s="276"/>
    </row>
    <row r="65" spans="2:3" x14ac:dyDescent="0.25">
      <c r="B65" s="310" t="str">
        <f>template_label_disclosure_of_any_other_general_and_or_entity_specific_information_on_the_reporting_period_validation</f>
        <v>· Disclosure of any other general and/or entity specific information on the reporting period</v>
      </c>
      <c r="C65" s="280" t="str">
        <f>IF('General Information'!I165 = template_label_ok, template_label_ok, "")</f>
        <v/>
      </c>
    </row>
    <row r="66" spans="2:3" x14ac:dyDescent="0.25">
      <c r="B66" s="275" t="str">
        <f>template_label_disclosure_of_any_other_environmental_and_or_entity_specific_environmental_disclosures_validation</f>
        <v>· Disclosure of any other environmental and/or entity specific environmental disclosures</v>
      </c>
      <c r="C66" s="280" t="str">
        <f>IF('Environmental Disclosures'!M244 = template_label_ok, template_label_ok, "")</f>
        <v/>
      </c>
    </row>
    <row r="67" spans="2:3" x14ac:dyDescent="0.25">
      <c r="B67" s="275" t="str">
        <f>template_label_disclosure_of_any_other_social_and_or_entity_specific_social_disclosures_validation</f>
        <v>· Disclosure of any other social and/or entity specific social disclosures</v>
      </c>
      <c r="C67" s="280" t="str">
        <f>IF('Social Disclosures'!I101 = template_label_ok, template_label_ok, "")</f>
        <v/>
      </c>
    </row>
    <row r="68" spans="2:3" ht="15.75" thickBot="1" x14ac:dyDescent="0.3">
      <c r="B68" s="314" t="str">
        <f>template_label_disclosure_of_any_other_governance_and_or_entity_specific_governance_disclosures_validation</f>
        <v>· Disclosure of any other governance and/or entity specific governance disclosures</v>
      </c>
      <c r="C68" s="283" t="str">
        <f>IF('Governance Disclosures'!I38 = template_label_ok, template_label_ok, "")</f>
        <v/>
      </c>
    </row>
  </sheetData>
  <sheetProtection algorithmName="SHA-512" hashValue="tUPoii4fwokM1xveqAJDpdBAve2UTAh2Fm3u1929blInw1LCwAFW21FZJI0hzXnUUwAsanlD8XZqv1ZelTpnkQ==" saltValue="CTby0AUdAlFXgWbQ0LLIYQ==" spinCount="100000" sheet="1" objects="1" scenarios="1" selectLockedCells="1" selectUnlockedCells="1"/>
  <conditionalFormatting sqref="B3">
    <cfRule type="expression" dxfId="303" priority="371">
      <formula>B$44="INCOMPLETE"</formula>
    </cfRule>
    <cfRule type="expression" dxfId="302" priority="372">
      <formula>B$44="COMPLETE"</formula>
    </cfRule>
  </conditionalFormatting>
  <conditionalFormatting sqref="C2">
    <cfRule type="expression" dxfId="301" priority="12">
      <formula>C$58="INCOMPLETE"</formula>
    </cfRule>
    <cfRule type="expression" dxfId="300" priority="13">
      <formula>C$58="COMPLETE"</formula>
    </cfRule>
  </conditionalFormatting>
  <conditionalFormatting sqref="C3">
    <cfRule type="expression" dxfId="299" priority="10">
      <formula>$C$3=template_label_incomplete</formula>
    </cfRule>
    <cfRule type="expression" dxfId="298" priority="11">
      <formula>$C$3=template_label_complete</formula>
    </cfRule>
  </conditionalFormatting>
  <conditionalFormatting sqref="C6:C8 C10:C45 C47:C68">
    <cfRule type="expression" dxfId="297" priority="1">
      <formula>$C6=template_label_value_inconsistency</formula>
    </cfRule>
    <cfRule type="expression" dxfId="296" priority="2">
      <formula>$C6=template_label_invalid_url</formula>
    </cfRule>
    <cfRule type="expression" dxfId="295" priority="3">
      <formula>$C6=template_label_error_plus_missing_value_plus_value_inconsistency</formula>
    </cfRule>
    <cfRule type="expression" dxfId="294" priority="4">
      <formula>$C6=template_label_error_plus_value_inconsistency</formula>
    </cfRule>
    <cfRule type="expression" dxfId="293" priority="5">
      <formula>$C6=template_label_error_plus_missing_value</formula>
    </cfRule>
    <cfRule type="expression" dxfId="292" priority="6">
      <formula>$C6=template_label_missing_value_plus_value_inconsistency</formula>
    </cfRule>
    <cfRule type="expression" dxfId="291" priority="7">
      <formula>$C6=template_label_missing_value</formula>
    </cfRule>
    <cfRule type="expression" dxfId="290" priority="8">
      <formula>$C6=template_label_error</formula>
    </cfRule>
    <cfRule type="expression" dxfId="289" priority="9">
      <formula>$C6=template_label_ok</formula>
    </cfRule>
  </conditionalFormatting>
  <hyperlinks>
    <hyperlink ref="B6" location="template_information_on_the_report_necessary_for_XBRL" display="· Information on the report necessary for  XBRL" xr:uid="{25A267B9-423F-42B5-B3B3-D5E1CEF1CCD2}"/>
    <hyperlink ref="B5" location="'General Information'!A1" display="General Information" xr:uid="{3BFB2E8E-B9D3-4E7A-BF18-C16AACDE335C}"/>
    <hyperlink ref="B7" location="template_information_on_previous_reporting_period" display="· Information on previous reporting period" xr:uid="{A7B7970B-B829-4E06-98AB-137CDC76DA3F}"/>
    <hyperlink ref="B10" location="template_b1_basis_for_preparation_and_other_undertakings_general_information" display="· B1 - Basis for Preparation" xr:uid="{D3B8ECC2-14C0-4EF6-8D88-0E701043E936}"/>
    <hyperlink ref="B11" location="template_b1_basis_for_preparation_and_other_undertakings_general_information" display="            Basis for Preparation and other undertaking's general information" xr:uid="{DCB9EB33-29ED-498C-82CC-F099A7297C4E}"/>
    <hyperlink ref="B12" location="template_b1_list_of_subsidiaries" display="             List of subsidiaries" xr:uid="{9EAA5EF6-131F-42F1-9145-55B580C93404}"/>
    <hyperlink ref="B13" location="template_b1_disclosure_of_sustainability_related_certifications_or_labels" display="             Disclosure of sustainability-related certification(s) or label(s)" xr:uid="{4D19F8C5-01A7-4A79-B8B9-BD32706D0E62}"/>
    <hyperlink ref="B14" location="template_b1_list_of_sites" display="             List of site(s)" xr:uid="{D243425C-ED64-484D-A378-BCE59FEA1CCA}"/>
    <hyperlink ref="B15" location="template_b2_practices_policies_and_future_initiatives_for_transitioning_towards_a_more_sustainable_economy" display="· B2 - Practices, policies and future initiatives for transitioning towards a more sustainable economy" xr:uid="{2BEF70DB-E383-4335-98C7-0AB1A331EF1C}"/>
    <hyperlink ref="B16" location="template_b2_practices_policies_and_future_initiatives_for_transitioning_towards_a_more_sustainable_economy" display="             Practices, policies and future initiatives for transitioning towards a more sustainable economy" xr:uid="{7FBE981F-5786-4A7C-A533-0218F6C159B3}"/>
    <hyperlink ref="B17" location="template_b2_cooperative_specific_disclosures" display="             Cooperative specific disclosures" xr:uid="{DD0201D3-4CEF-4426-A12D-90862DD79EFB}"/>
    <hyperlink ref="B47" location="template_c1_strategy_business_model_and_sustainability" display="· C1 - Strategy: Business Model and Sustainability – Related Initiatives" xr:uid="{A970C105-76A8-40CF-A869-573C4F419725}"/>
    <hyperlink ref="B48" location="template_c2_description_of_practices_policies_and_future_initiatives_for_transitioning_towards_a_more_sustainable_economy" display="· C2 - Description of practices, policies and future initiatives for transitioning towards a more sustainable economy" xr:uid="{4D6F90F8-3C8A-4FDC-B1E6-ED7043476E17}"/>
    <hyperlink ref="B65" location="template_disclosure_of_any_other_general_and_or_entity_specific_information_on_the_reporting_period" display="· Disclosure of any other general and/or entity specific information on the reporting period" xr:uid="{737F7CD2-A98D-46EC-85E3-472AB0E79697}"/>
    <hyperlink ref="B49" location="'Environmental Disclosures'!A1" display="Environmental Disclosures" xr:uid="{10462CBF-ABB9-48E1-BEB6-C8118F1D11E7}"/>
    <hyperlink ref="B19" location="template_b3_total_energy_consumption_in_MWh" display="· B3 - Energy and greenhouse gas emissions" xr:uid="{08781854-D699-4BBB-904F-9F167F4BC7F5}"/>
    <hyperlink ref="B20" location="template_b3_total_energy_consumption_in_MWh" display="              Total Energy Consumption (in MWh)" xr:uid="{5B575D7E-E621-4CB5-AA93-723609F4A6A2}"/>
    <hyperlink ref="B21" location="template_b3_breakdown_of_energy_consumption_in_MWh" display="              Breakdown of energy consumption (in MWh)" xr:uid="{BE17BD15-69F9-4526-83D2-A71BB8432726}"/>
    <hyperlink ref="B22" location="template_b3_estimated_greenhouse_gas_emissions_considering_the_GHG_protocol_version_2004_in_tCO2e" display="              Estimated Greenhouse Gas Emissions considering the GHG Protocol Version 2004 (in tCO2e)" xr:uid="{D4732330-7C7D-4BC6-82F9-4BAE89A1C083}"/>
    <hyperlink ref="B23" location="template_b3_greenhouse_gas_emission_intensity_per_turnover" display="              Greenhouse gas emission intensity per turnover" xr:uid="{F20C845F-7C19-41D5-A6FD-766FD2E21E04}"/>
    <hyperlink ref="B24" location="template_b4_pollution_of_air_water_and_soil" display="· B4 - Pollution of air, water and soil" xr:uid="{A24D3F48-4D25-4A4D-A316-26A850E78206}"/>
    <hyperlink ref="B25" location="template_B5_sites_in_biodiversity_sensitive_areas" display="· B5 - Biodiversity" xr:uid="{B9BF6D98-8A08-4FA1-B30B-FFEC7C32F3DA}"/>
    <hyperlink ref="B26" location="template_B5_sites_in_biodiversity_sensitive_areas" display="             Sites in biodiversity sensitive areas" xr:uid="{26124F05-E905-448A-9BA5-5DB7BB12E703}"/>
    <hyperlink ref="B27" location="template_b5_biodiversity_land_use" display="             Biodiversity - Land-use" xr:uid="{4A12F42D-8678-45FB-A4B6-98BAF48740A7}"/>
    <hyperlink ref="B28" location="template_b6_water_withdrawal" display="· B6 - Water" xr:uid="{30924859-42AD-4793-BB93-4D15632E75FB}"/>
    <hyperlink ref="B29" location="template_b6_water_withdrawal" display="              Water Withdrawal" xr:uid="{15F35FEF-ED86-4242-BBB3-A19B3AE7F39B}"/>
    <hyperlink ref="B30" location="template_b6_water_consumption" display="              Water Consumption" xr:uid="{1A5C0D0C-A5AD-4D6D-8842-164CB4995CF0}"/>
    <hyperlink ref="B31" location="template_b7_description_of_circular_economy_principles" display="· B7 - Resource use, circular economy and waste management" xr:uid="{E73F13C7-0475-49C2-8004-4B82FA915BBF}"/>
    <hyperlink ref="B32" location="template_b7_description_of_circular_economy_principles" display="               Description of circular economy principles" xr:uid="{D81C731F-C208-41C3-A3C2-15BDAD9FB28C}"/>
    <hyperlink ref="B33" location="template_b7_waste_generated" display="               Waste generated" xr:uid="{4C54828D-61E5-4A13-82DB-6726CB12D26D}"/>
    <hyperlink ref="B34" location="template_b7_annual_mass_flow_of_relevant_materials_used" display="               Annual mass-flow of relevant materials used" xr:uid="{C74D5ECF-F326-4ABD-ACF2-78AC53914DE4}"/>
    <hyperlink ref="B50" location="template_c3_GHG_reduction_targets_in_tC02e" display="· C3 - GHG reduction targets and climate transition" xr:uid="{848C6734-27F4-49E8-9FCC-08706070E8A6}"/>
    <hyperlink ref="B51" location="template_c3_GHG_reduction_targets_in_tC02e" display="              GHG reduction targets (in tC02e)" xr:uid="{03F78659-15D3-426B-904F-EB997820F373}"/>
    <hyperlink ref="B52" location="template_c3_disclosure_of_list_of_main_actions_the_entity_seeks_in_order_to_achieve_its_targets" display="              Disclosure of list of main actions the entity seeks in order  to achieve its targets" xr:uid="{7736370F-5B99-4C0B-90FC-4925E5CC7276}"/>
    <hyperlink ref="B53" location="template_c3_transition_plan_for_undertakings_operating_in_high_climate_impact_sectors" display="              Transition plan for undertakings operating in high climate impact sectors" xr:uid="{9B00468F-D916-42FC-9DB7-512FE564EB6B}"/>
    <hyperlink ref="B54" location="template_c4_climate_risks" display="· C4 - Climate risks" xr:uid="{9A4CE9A4-48DE-4DCC-AA6A-C83BB13ECA6E}"/>
    <hyperlink ref="B66" location="template_disclosure_of_any_other_environmental_and_or_entity_specific_enviromental_disclosures" display="· Disclosure of any other environmental and/or entity specific enviromental disclosures" xr:uid="{3B30C8FE-FF9E-4311-9E4E-4FDD869D911E}"/>
    <hyperlink ref="B55" location="'Social Disclosures'!A1" display="Social Disclosures" xr:uid="{664E23E3-4976-47A2-9233-8DBF4A2B0004}"/>
    <hyperlink ref="B36" location="template_b8_workforce_general_characteristics_type_of_contract" display="· B8 - Workforce - General characteristics" xr:uid="{319673CB-05CE-4E03-98D7-7EFA767A760B}"/>
    <hyperlink ref="B37" location="template_b8_workforce_general_characteristics_type_of_contract" display="              Type of contract" xr:uid="{EF6C1F60-CB03-481A-9593-49F09F25E273}"/>
    <hyperlink ref="B38" location="template_b8_workforce_general_characteristics_gender" display="              Gender" xr:uid="{553B08BC-0FC3-432D-B82C-D06226579BD6}"/>
    <hyperlink ref="B39" location="template_b8_workforce_general_characteristics_country_of_employment" display="              Country of employment" xr:uid="{33734E25-2845-4F90-BCB6-E86394EDCA24}"/>
    <hyperlink ref="B40" location="template_b8_workforce_general_characteristics_turnover_rate" display="              Turnover rate" xr:uid="{F6700308-E350-44BD-87E8-4DF952C410CB}"/>
    <hyperlink ref="B41" location="template_b9_workforce_health_and_safety" display="· B9 - Workforce – Health and safety" xr:uid="{A5F3F6AC-150A-4651-8667-6E55FFE385E3}"/>
    <hyperlink ref="B42" location="template_b10_workforce_remuneration_collective_bargaining_and_training" display="· B10 - Workforce – Remuneration, collective bargaining and training " xr:uid="{C3EDD6ED-F5ED-423B-BE89-F63385BBF4A9}"/>
    <hyperlink ref="B56" location="template_c5_additional_general_workforce_characteristics" display="· C5 - Additional (general) workforce characteristics" xr:uid="{12A6D13C-E762-49D9-B9D9-FF10B30E5074}"/>
    <hyperlink ref="B57" location="template_c6_additional_own_workforce_information_human_rights_policies_and_processes" display="· C6 - Additional own workforce information - Human rights policies and processes" xr:uid="{ADA01F7E-1E23-46D3-A6C5-180A4471A463}"/>
    <hyperlink ref="B58" location="template_c7_severe_negative_human_rights_incidents" display="· C7 - Severe negative human rights incidents" xr:uid="{94D3FF8D-39DA-47EF-8F8C-21118A7AC765}"/>
    <hyperlink ref="B67" location="template_disclosure_of_any_other_social_and_or_entity_specific_social_disclosures" display="· Disclosure of any other social and/or entity specific social disclosures" xr:uid="{C461AEC8-E547-4D3E-985E-464AE7DE0614}"/>
    <hyperlink ref="B59" location="'Governance Disclosures'!A1" display="Governance Disclosures" xr:uid="{DB065620-D288-425D-A3F6-B94563629CD2}"/>
    <hyperlink ref="B44" location="template_b11_convictions_and_fines_for_corruption_and_bribery" display="· B11 - Convictions and fines for corruption and bribery" xr:uid="{DCDB2FE8-D2A1-470C-AEE7-1A53DE3C6A56}"/>
    <hyperlink ref="B60" location="template_c8_revenues_from_certain_sectors" display="· C8 - Revenues from certain sectors and exclusion from EU reference benchmarks" xr:uid="{9A39A97B-59DF-4A64-9184-E8CE24890C97}"/>
    <hyperlink ref="B61" location="template_c8_revenues_from_certain_sectors" display="              Revenues from certain sectors" xr:uid="{C95EF8C3-FA9B-4CEE-8D33-44BBFD20DB8E}"/>
    <hyperlink ref="B62" location="template_c8_exclusion_from_EU_reference_benchmarks" display="              Exclusion from EU reference benchmarks" xr:uid="{686FE336-7658-4083-B1D8-2A0952B0A262}"/>
    <hyperlink ref="B63" location="template_c9_gender_diversity_ratio_in_the_governance_body" display="· C9 - Gender diversity ratio in the governance body" xr:uid="{8744655C-A8E1-41B4-9ACB-ED49B581199E}"/>
    <hyperlink ref="B68" location="template_disclosure_of_any_other_governance_and_or_entity_specific_governance_disclosures" display="· Disclosure of any other governance and/or entity specific governance disclosures" xr:uid="{A24B95B2-E94D-40C8-8CF7-1A8C1D3E88B4}"/>
    <hyperlink ref="B9" location="'General Information'!A1" display="General Information" xr:uid="{8E3A83E8-4322-4B9A-8B41-51DE5C1FB320}"/>
    <hyperlink ref="B46" location="'General Information'!A1" display="General Information" xr:uid="{8D1A7217-DD9F-4D14-8E62-DF0CE7521CD6}"/>
    <hyperlink ref="B35" location="'Social Disclosures'!A1" display="Social Disclosures" xr:uid="{5005ADE5-99EC-42B4-8AAE-6D7FF266EFE1}"/>
    <hyperlink ref="B43" location="'Governance Disclosures'!A1" display="Governance Disclosures" xr:uid="{3A78DB22-3150-4E53-A3E3-AF5505C487EE}"/>
    <hyperlink ref="B18" location="'Environmental Disclosures'!A1" display="Environmental Disclosures" xr:uid="{7718B422-B5A6-477E-8388-A9804BDB4D4F}"/>
  </hyperlinks>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67E04-6DA5-4708-A51E-89E844EF3733}">
  <sheetPr codeName="Sheet2"/>
  <dimension ref="A1:Q165"/>
  <sheetViews>
    <sheetView showGridLines="0" zoomScale="70" zoomScaleNormal="70" workbookViewId="0">
      <selection activeCell="B14" sqref="B14"/>
    </sheetView>
  </sheetViews>
  <sheetFormatPr baseColWidth="10" defaultColWidth="8.85546875" defaultRowHeight="15" outlineLevelRow="2" x14ac:dyDescent="0.25"/>
  <cols>
    <col min="1" max="2" width="10" bestFit="1" customWidth="1"/>
    <col min="3" max="3" width="54.85546875" customWidth="1"/>
    <col min="4" max="4" width="56.42578125" customWidth="1"/>
    <col min="5" max="5" width="41.42578125" customWidth="1"/>
    <col min="6" max="6" width="23.5703125" style="1" bestFit="1" customWidth="1"/>
    <col min="7" max="7" width="13.5703125" bestFit="1" customWidth="1"/>
    <col min="8" max="8" width="91.5703125" customWidth="1"/>
    <col min="9" max="9" width="13.42578125" bestFit="1" customWidth="1"/>
    <col min="10" max="10" width="25.5703125" bestFit="1" customWidth="1"/>
    <col min="11" max="11" width="43.5703125" bestFit="1" customWidth="1"/>
    <col min="12" max="12" width="11" customWidth="1"/>
    <col min="13" max="13" width="8.5703125" customWidth="1"/>
    <col min="14" max="14" width="24" customWidth="1"/>
    <col min="15" max="15" width="15.5703125" customWidth="1"/>
    <col min="16" max="16" width="58" customWidth="1"/>
    <col min="17" max="17" width="34.5703125" customWidth="1"/>
    <col min="18" max="18" width="25" customWidth="1"/>
  </cols>
  <sheetData>
    <row r="1" spans="1:11" ht="60.75" thickBot="1" x14ac:dyDescent="0.3">
      <c r="A1" s="291" t="str">
        <f>template_label_paragraph_reference</f>
        <v>Paragraph Reference</v>
      </c>
      <c r="B1" s="291" t="str">
        <f>template_label_paragraph_guidance_reference</f>
        <v>Paragraph Guidance Reference</v>
      </c>
    </row>
    <row r="2" spans="1:11" ht="14.45" customHeight="1" x14ac:dyDescent="0.25">
      <c r="A2" s="54"/>
      <c r="B2" s="54"/>
      <c r="C2" s="602" t="str">
        <f>template_label_information_on_the_report_necessary_for_xbrl &amp; " " &amp; template_label_always_to_be_reported</f>
        <v>Information on the report necessary for  XBRL [Always to be reported]</v>
      </c>
      <c r="D2" s="603"/>
      <c r="E2" s="604"/>
    </row>
    <row r="3" spans="1:11" ht="14.45" customHeight="1" x14ac:dyDescent="0.25">
      <c r="A3" s="54"/>
      <c r="B3" s="54"/>
      <c r="C3" s="90" t="str">
        <f>template_label_name_of_the_reporting_entity</f>
        <v>Name of the reporting entity</v>
      </c>
      <c r="D3" s="621" t="s">
        <v>5</v>
      </c>
      <c r="E3" s="622"/>
      <c r="F3" s="8" t="str">
        <f>IF(D3 = "", template_label_missing_value, template_label_ok)</f>
        <v>OK</v>
      </c>
    </row>
    <row r="4" spans="1:11" ht="14.45" customHeight="1" x14ac:dyDescent="0.25">
      <c r="A4" s="54"/>
      <c r="B4" s="54"/>
      <c r="C4" s="90" t="str">
        <f>template_label_identifier_of_the_reporting_entity</f>
        <v>Identifier of the reporting entity (select and specify on the right)</v>
      </c>
      <c r="D4" s="290" t="s">
        <v>6</v>
      </c>
      <c r="E4" s="22" t="s">
        <v>7</v>
      </c>
      <c r="F4" s="8" t="str">
        <f>IF(OR(D4 = "", E4 = ""), template_label_missing_value, template_label_ok)</f>
        <v>OK</v>
      </c>
      <c r="G4" t="str">
        <f>template_label_identifier_warning</f>
        <v xml:space="preserve">ℹ️  The entity identifier is a unique ID, that will enable identifying the company that has reported the information. The VSME Standard does not require any specific identifier. An entity identifier is required for the digital reporting. </v>
      </c>
    </row>
    <row r="5" spans="1:11" ht="14.45" customHeight="1" thickBot="1" x14ac:dyDescent="0.3">
      <c r="C5" s="3" t="str">
        <f>template_label_currency_of_the_monetary_values_in_the_report</f>
        <v>Currency of the monetary values in the report</v>
      </c>
      <c r="D5" s="623" t="s">
        <v>8</v>
      </c>
      <c r="E5" s="624"/>
      <c r="F5" s="8" t="str">
        <f>IF(D5 = "", template_label_missing_value, template_label_ok)</f>
        <v>OK</v>
      </c>
      <c r="H5" s="19"/>
    </row>
    <row r="6" spans="1:11" ht="14.45" customHeight="1" x14ac:dyDescent="0.25">
      <c r="C6" s="169" t="str">
        <f>template_label_starting_year</f>
        <v>Starting year</v>
      </c>
      <c r="D6" s="591">
        <v>2025</v>
      </c>
      <c r="E6" s="592"/>
      <c r="F6" s="546" t="str">
        <f>IF(OR(D6 = "", D7 = "", D8 = ""),
    template_label_missing_value,
    IF(OR(
        AND(D7 = 2, D8 &gt; 29),
        AND(D7 = 2, D8 = 29, NOT(AND(MOD(D6, 4) = 0, OR(MOD(D6, 100) &lt;&gt; 0, MOD(D6, 400) = 0)))),
        AND(OR(D7 = 4, D7 = 6, D7 = 9, D7 = 11), D8 = 31)
    ),
        template_label_error,
        IF(F10 = template_label_value_inconsistency, template_label_value_inconsistency, template_label_ok)
    )
)</f>
        <v>OK</v>
      </c>
      <c r="G6" s="533" t="str">
        <f>template_label_date_warning</f>
        <v>ℹ️ If VALUE INCONSISTENCY message appears on the right, please ensure that the reporting period end date is greater than the reporting period start date.</v>
      </c>
      <c r="H6" s="533"/>
      <c r="I6" s="533"/>
      <c r="J6" s="533"/>
      <c r="K6" s="533"/>
    </row>
    <row r="7" spans="1:11" ht="14.45" customHeight="1" x14ac:dyDescent="0.25">
      <c r="C7" s="106" t="str">
        <f>template_label_starting_month</f>
        <v>Starting month</v>
      </c>
      <c r="D7" s="625">
        <v>1</v>
      </c>
      <c r="E7" s="626"/>
      <c r="F7" s="546"/>
      <c r="G7" s="533"/>
      <c r="H7" s="533"/>
      <c r="I7" s="533"/>
      <c r="J7" s="533"/>
      <c r="K7" s="533"/>
    </row>
    <row r="8" spans="1:11" ht="14.45" customHeight="1" x14ac:dyDescent="0.25">
      <c r="C8" s="106" t="str">
        <f>template_label_starting_day</f>
        <v>Starting day</v>
      </c>
      <c r="D8" s="547">
        <v>1</v>
      </c>
      <c r="E8" s="548"/>
      <c r="F8" s="546"/>
      <c r="G8" s="533"/>
      <c r="H8" s="533"/>
      <c r="I8" s="533"/>
      <c r="J8" s="533"/>
      <c r="K8" s="533"/>
    </row>
    <row r="9" spans="1:11" ht="14.45" customHeight="1" thickBot="1" x14ac:dyDescent="0.3">
      <c r="C9" s="87" t="str">
        <f>template_label_reporting_period_start_date</f>
        <v>Reporting period start date (yyyy-mm-dd)</v>
      </c>
      <c r="D9" s="589" t="str">
        <f>IF(OR(ISBLANK(D6), ISBLANK(D7), ISBLANK(D8)), "-", D6 &amp; "-" &amp; TEXT(D7, "00") &amp; "-" &amp; TEXT(D8, "00"))</f>
        <v>2025-01-01</v>
      </c>
      <c r="E9" s="590"/>
      <c r="F9"/>
      <c r="H9" s="19"/>
    </row>
    <row r="10" spans="1:11" ht="14.45" customHeight="1" x14ac:dyDescent="0.25">
      <c r="C10" s="169" t="str">
        <f>template_label_ending_year</f>
        <v>Ending year</v>
      </c>
      <c r="D10" s="591">
        <v>2025</v>
      </c>
      <c r="E10" s="592"/>
      <c r="F10" s="546" t="str">
        <f>IF(OR(D10 = "", D11 = "", D12 = ""), template_label_missing_value,
IF(OR(
   AND(D11 = 2, D12 &gt; 29),
   AND(D11 = 2, D12 = 29, NOT(AND(MOD(D10, 4) = 0, OR(MOD(D10, 100) &lt;&gt; 0, MOD(D10, 400) = 0)))),
   AND(OR(D11 = 4, D11 = 6, D11 = 9, D11 = 11), D12 = 31)
), template_label_error,
IF(D10 &lt; D6, template_label_value_inconsistency,
IF(D10 &gt; D6, template_label_ok,
IF(AND(D10 = D6,
MATCH(D11, {1;2;3;4;5;6;7;8;9;10;11;12}, 0) &lt;
MATCH(D7, {1;2;3;4;5;6;7;8;9;10;11;12}, 0)),
template_label_value_inconsistency,
IF(AND(D10 = D6,
MATCH(D11, {1;2;3;4;5;6;7;8;9;10;11;12}, 0) &gt;
MATCH(D7, {1;2;3;4;5;6;7;8;9;10;11;12}, 0)),
template_label_ok,
IF(AND(D10 = D6,
MATCH(D11, {1;2;3;4;5;6;7;8;9;10;11;12}, 0) =
MATCH(D7, {1;2;3;4;5;6;7;8;9;10;11;12}, 0),
D12 &lt; D8),
template_label_value_inconsistency,
template_label_ok
)))))))</f>
        <v>OK</v>
      </c>
      <c r="G10" s="533" t="str">
        <f>template_label_date_warning</f>
        <v>ℹ️ If VALUE INCONSISTENCY message appears on the right, please ensure that the reporting period end date is greater than the reporting period start date.</v>
      </c>
      <c r="H10" s="533"/>
      <c r="I10" s="533"/>
      <c r="J10" s="533"/>
      <c r="K10" s="533"/>
    </row>
    <row r="11" spans="1:11" ht="14.45" customHeight="1" x14ac:dyDescent="0.25">
      <c r="C11" s="106" t="str">
        <f>template_label_ending_month</f>
        <v>Ending month</v>
      </c>
      <c r="D11" s="593">
        <v>12</v>
      </c>
      <c r="E11" s="594"/>
      <c r="F11" s="546"/>
      <c r="G11" s="533"/>
      <c r="H11" s="533"/>
      <c r="I11" s="533"/>
      <c r="J11" s="533"/>
      <c r="K11" s="533"/>
    </row>
    <row r="12" spans="1:11" ht="14.45" customHeight="1" x14ac:dyDescent="0.25">
      <c r="C12" s="106" t="s">
        <v>9</v>
      </c>
      <c r="D12" s="595">
        <v>31</v>
      </c>
      <c r="E12" s="596"/>
      <c r="F12" s="546"/>
      <c r="G12" s="533"/>
      <c r="H12" s="533"/>
      <c r="I12" s="533"/>
      <c r="J12" s="533"/>
      <c r="K12" s="533"/>
    </row>
    <row r="13" spans="1:11" ht="14.45" customHeight="1" thickBot="1" x14ac:dyDescent="0.3">
      <c r="A13" s="54"/>
      <c r="B13" s="54"/>
      <c r="C13" s="87" t="str">
        <f>template_label_reporting_period_end_date</f>
        <v>Reporting period end date  (yyyy-mm-dd)</v>
      </c>
      <c r="D13" s="589" t="str">
        <f>IF(OR(ISBLANK(D10), ISBLANK(D11), ISBLANK(D12)), "-", D10 &amp; "-" &amp; TEXT(D11, "00") &amp; "-" &amp; TEXT(D12, "00"))</f>
        <v>2025-12-31</v>
      </c>
      <c r="E13" s="590"/>
      <c r="F13" s="8"/>
    </row>
    <row r="14" spans="1:11" x14ac:dyDescent="0.25">
      <c r="A14" s="54"/>
      <c r="B14" s="54"/>
      <c r="C14" s="55"/>
      <c r="D14" s="55"/>
      <c r="E14" s="56"/>
      <c r="F14" s="8"/>
    </row>
    <row r="15" spans="1:11" ht="15" customHeight="1" thickBot="1" x14ac:dyDescent="0.3">
      <c r="A15" s="54"/>
      <c r="B15" s="54"/>
      <c r="E15" s="9"/>
    </row>
    <row r="16" spans="1:11" x14ac:dyDescent="0.25">
      <c r="A16" s="57"/>
      <c r="B16" s="54"/>
      <c r="C16" s="607" t="str">
        <f>template_label_information_on_previous_reporting_period</f>
        <v>Information on previous reporting period</v>
      </c>
      <c r="D16" s="608"/>
      <c r="E16" s="609"/>
    </row>
    <row r="17" spans="1:7" x14ac:dyDescent="0.25">
      <c r="A17" s="57"/>
      <c r="B17" s="54"/>
      <c r="C17" s="612">
        <v>16</v>
      </c>
      <c r="D17" s="613"/>
      <c r="E17" s="614"/>
      <c r="F17" s="170"/>
    </row>
    <row r="18" spans="1:7" ht="14.45" customHeight="1" x14ac:dyDescent="0.25">
      <c r="C18" s="610" t="str">
        <f>template_label_disclosures_from_the_previous_reporting_period_that_remain_unchanged</f>
        <v>This report contains disclosures from the previous reporting period that remain unchanged</v>
      </c>
      <c r="D18" s="611"/>
      <c r="E18" s="23" t="b">
        <v>0</v>
      </c>
      <c r="F18" s="8" t="str">
        <f>IF(E18 = FALSE, "", template_label_ok)</f>
        <v/>
      </c>
    </row>
    <row r="19" spans="1:7" ht="14.45" customHeight="1" x14ac:dyDescent="0.25">
      <c r="C19" s="615" t="str">
        <f>template_label_disclosures_for_which_no_changes_are_reported_compared_to_the_previous_period_reporting</f>
        <v>List of disclosures for which no changes are reported compared to the previous period reporting</v>
      </c>
      <c r="D19" s="616"/>
      <c r="E19" s="24"/>
      <c r="F19" s="8" t="str">
        <f>IF(AND(E18 = FALSE, E19 = ""), "",
IF(AND(E18 = FALSE, E19 &lt;&gt; ""), "",
IF(AND(E18 = TRUE, E19 = ""), template_label_missing_value,
IF(AND(E18 = TRUE, E19 &lt;&gt; "", COUNTIF(E19:E28, E19) = COUNTA(E19:E28), COUNTA(E19:E28) &gt; 1), template_label_value_inconsistency,
template_label_ok))))</f>
        <v/>
      </c>
      <c r="G19" t="str">
        <f>template_label_additional_rows_warning</f>
        <v>ℹ️  Lists can be expanded using the little [+] button on the left.  If the number of rows is not sufficient, those can be added by right clicking the second row and selecting "Insert row".</v>
      </c>
    </row>
    <row r="20" spans="1:7" ht="14.45" customHeight="1" outlineLevel="2" x14ac:dyDescent="0.25">
      <c r="C20" s="617"/>
      <c r="D20" s="618"/>
      <c r="E20" s="25"/>
      <c r="F20" s="8" t="str">
        <f t="shared" ref="F20:F28" si="0">IF($E$18 = FALSE, "",
IF(E20 = "", "",
IF(COUNTIF($E$19:$E$28, E20) &gt; 1, template_label_value_inconsistency, template_label_ok)))</f>
        <v/>
      </c>
    </row>
    <row r="21" spans="1:7" ht="14.45" customHeight="1" outlineLevel="2" x14ac:dyDescent="0.25">
      <c r="C21" s="617"/>
      <c r="D21" s="618"/>
      <c r="E21" s="25"/>
      <c r="F21" s="8" t="str">
        <f t="shared" si="0"/>
        <v/>
      </c>
    </row>
    <row r="22" spans="1:7" ht="14.45" customHeight="1" outlineLevel="2" x14ac:dyDescent="0.25">
      <c r="C22" s="617"/>
      <c r="D22" s="618"/>
      <c r="E22" s="25"/>
      <c r="F22" s="8" t="str">
        <f t="shared" si="0"/>
        <v/>
      </c>
    </row>
    <row r="23" spans="1:7" ht="14.45" customHeight="1" outlineLevel="2" x14ac:dyDescent="0.25">
      <c r="C23" s="617"/>
      <c r="D23" s="618"/>
      <c r="E23" s="25"/>
      <c r="F23" s="8" t="str">
        <f t="shared" si="0"/>
        <v/>
      </c>
    </row>
    <row r="24" spans="1:7" ht="14.45" customHeight="1" outlineLevel="2" x14ac:dyDescent="0.25">
      <c r="C24" s="617"/>
      <c r="D24" s="618"/>
      <c r="E24" s="25"/>
      <c r="F24" s="8" t="str">
        <f t="shared" si="0"/>
        <v/>
      </c>
    </row>
    <row r="25" spans="1:7" ht="14.45" customHeight="1" outlineLevel="2" x14ac:dyDescent="0.25">
      <c r="C25" s="617"/>
      <c r="D25" s="618"/>
      <c r="E25" s="25"/>
      <c r="F25" s="8" t="str">
        <f t="shared" si="0"/>
        <v/>
      </c>
    </row>
    <row r="26" spans="1:7" ht="14.45" customHeight="1" outlineLevel="2" x14ac:dyDescent="0.25">
      <c r="C26" s="617"/>
      <c r="D26" s="618"/>
      <c r="E26" s="25"/>
      <c r="F26" s="8" t="str">
        <f t="shared" si="0"/>
        <v/>
      </c>
    </row>
    <row r="27" spans="1:7" ht="14.45" customHeight="1" outlineLevel="2" x14ac:dyDescent="0.25">
      <c r="C27" s="617"/>
      <c r="D27" s="618"/>
      <c r="E27" s="25"/>
      <c r="F27" s="8" t="str">
        <f t="shared" si="0"/>
        <v/>
      </c>
    </row>
    <row r="28" spans="1:7" ht="14.45" customHeight="1" outlineLevel="2" x14ac:dyDescent="0.25">
      <c r="C28" s="619"/>
      <c r="D28" s="620"/>
      <c r="E28" s="25"/>
      <c r="F28" s="8" t="str">
        <f t="shared" si="0"/>
        <v/>
      </c>
    </row>
    <row r="29" spans="1:7" ht="14.45" customHeight="1" thickBot="1" x14ac:dyDescent="0.3">
      <c r="A29" s="58"/>
      <c r="B29" s="58"/>
      <c r="C29" s="549" t="str">
        <f>template_label_link_to_previous_report_containing_disclosures_that_remain_unchanged</f>
        <v>Link to previous report containing disclosures that remain unchanged</v>
      </c>
      <c r="D29" s="550"/>
      <c r="E29" s="152"/>
      <c r="F29" s="8" t="str">
        <f>IF(AND(E18 = FALSE, E29 = ""), "",
IF(AND(E18 = TRUE, E29 = ""), template_label_missing_value,
IF(AND(E18 = FALSE, E29 &lt;&gt; ""), "",
IF(AND(E18 = TRUE, E29 &lt;&gt; "", OR(LEFT(E29, 7) = "http://", LEFT(E29, 8) = "https://", LEFT(E29, 4) = "www.")), template_label_ok,
IF(E18 = TRUE, template_label_invalid_url, template_label_missing_value)))))</f>
        <v/>
      </c>
    </row>
    <row r="30" spans="1:7" ht="15.75" thickBot="1" x14ac:dyDescent="0.3">
      <c r="A30" s="59"/>
      <c r="B30" s="59"/>
    </row>
    <row r="31" spans="1:7" ht="17.850000000000001" customHeight="1" x14ac:dyDescent="0.25">
      <c r="C31" s="350" t="str">
        <f>template_label_b1_basis_for_preparation_and_other_undertakings_general_information &amp; " " &amp; template_label_from &amp; " " &amp; template_starting_date_display &amp; " " &amp; template_label_to &amp; " " &amp; template_ending_date_display &amp; " " &amp; template_label_always_to_be_reported</f>
        <v>B1 - Basis for Preparation and other undertaking's general information from 2025-01-01 to 2025-12-31 [Always to be reported]</v>
      </c>
      <c r="D31" s="351"/>
      <c r="E31" s="352"/>
      <c r="F31"/>
    </row>
    <row r="32" spans="1:7" ht="30" x14ac:dyDescent="0.25">
      <c r="A32" s="317" t="s">
        <v>10</v>
      </c>
      <c r="B32" s="173" t="s">
        <v>11</v>
      </c>
      <c r="C32" s="578" t="str">
        <f>template_label_basis_for_preparation</f>
        <v>Basis for preparation (Basic Module Only or Basic &amp; Comprehensive Module)</v>
      </c>
      <c r="D32" s="579"/>
      <c r="E32" s="26" t="s">
        <v>12</v>
      </c>
      <c r="F32" s="8" t="str">
        <f>IF(E32 = "", template_label_missing_value, template_label_ok)</f>
        <v>OK</v>
      </c>
    </row>
    <row r="33" spans="1:7" x14ac:dyDescent="0.25">
      <c r="A33" s="317" t="s">
        <v>13</v>
      </c>
      <c r="B33" s="173" t="s">
        <v>11</v>
      </c>
      <c r="C33" s="597" t="str">
        <f>template_label_list_of_omitted_disclosures_deemed_to_be_classified_or_sensitive_information</f>
        <v>List of omitted disclosures deemed to be classified or sensitive information</v>
      </c>
      <c r="D33" s="598"/>
      <c r="E33" s="26" t="s">
        <v>14</v>
      </c>
      <c r="F33" s="8" t="str">
        <f>IF(E32 = "", "",
IF(AND(OR(E32 = "Option A (Basic Module only)", E32 = "Option B (Basic Module and Comprehensive Module)"), E33 = ""), template_label_missing_value,
IF(COUNTIF(E33:E42, E33) &gt; 1, template_label_value_inconsistency, template_label_ok)))</f>
        <v>OK</v>
      </c>
    </row>
    <row r="34" spans="1:7" ht="14.45" customHeight="1" outlineLevel="2" x14ac:dyDescent="0.25">
      <c r="C34" s="597"/>
      <c r="D34" s="598"/>
      <c r="E34" s="27"/>
      <c r="F34" s="8" t="str">
        <f t="shared" ref="F34:F41" si="1">IF(AND($E$33 = "None", E34 &lt;&gt; ""), template_label_value_inconsistency,
IF(E34 = "", "",
IF(COUNTIF($E$33:$E$41, E34) &gt; 1,
   template_label_value_inconsistency,
   template_label_ok)))</f>
        <v/>
      </c>
    </row>
    <row r="35" spans="1:7" ht="14.45" customHeight="1" outlineLevel="2" x14ac:dyDescent="0.25">
      <c r="C35" s="597"/>
      <c r="D35" s="598"/>
      <c r="E35" s="27"/>
      <c r="F35" s="8" t="str">
        <f t="shared" si="1"/>
        <v/>
      </c>
    </row>
    <row r="36" spans="1:7" ht="14.45" customHeight="1" outlineLevel="2" x14ac:dyDescent="0.25">
      <c r="C36" s="597"/>
      <c r="D36" s="598"/>
      <c r="E36" s="27"/>
      <c r="F36" s="8" t="str">
        <f t="shared" si="1"/>
        <v/>
      </c>
    </row>
    <row r="37" spans="1:7" ht="14.45" customHeight="1" outlineLevel="2" x14ac:dyDescent="0.25">
      <c r="C37" s="597"/>
      <c r="D37" s="598"/>
      <c r="E37" s="27"/>
      <c r="F37" s="8" t="str">
        <f t="shared" si="1"/>
        <v/>
      </c>
    </row>
    <row r="38" spans="1:7" ht="14.45" customHeight="1" outlineLevel="2" x14ac:dyDescent="0.25">
      <c r="C38" s="597"/>
      <c r="D38" s="598"/>
      <c r="E38" s="27"/>
      <c r="F38" s="8" t="str">
        <f t="shared" si="1"/>
        <v/>
      </c>
    </row>
    <row r="39" spans="1:7" ht="14.45" customHeight="1" outlineLevel="2" x14ac:dyDescent="0.25">
      <c r="C39" s="597"/>
      <c r="D39" s="598"/>
      <c r="E39" s="27"/>
      <c r="F39" s="8" t="str">
        <f t="shared" si="1"/>
        <v/>
      </c>
    </row>
    <row r="40" spans="1:7" ht="14.45" customHeight="1" outlineLevel="2" x14ac:dyDescent="0.25">
      <c r="C40" s="597"/>
      <c r="D40" s="598"/>
      <c r="E40" s="27"/>
      <c r="F40" s="8" t="str">
        <f t="shared" si="1"/>
        <v/>
      </c>
    </row>
    <row r="41" spans="1:7" ht="14.45" customHeight="1" outlineLevel="2" x14ac:dyDescent="0.25">
      <c r="C41" s="597"/>
      <c r="D41" s="598"/>
      <c r="E41" s="27"/>
      <c r="F41" s="8" t="str">
        <f t="shared" si="1"/>
        <v/>
      </c>
    </row>
    <row r="42" spans="1:7" ht="30" x14ac:dyDescent="0.25">
      <c r="A42" s="317" t="s">
        <v>15</v>
      </c>
      <c r="B42" s="173" t="s">
        <v>11</v>
      </c>
      <c r="C42" s="578" t="str">
        <f>template_label_basis_for_reporting</f>
        <v>Basis for reporting (consolidated or individual basis)</v>
      </c>
      <c r="D42" s="579"/>
      <c r="E42" s="26" t="s">
        <v>16</v>
      </c>
      <c r="F42" s="8" t="str">
        <f>IF(AND(OR(E32 = "Option A (Basic Module only)", E32 = "Option B (Basic Module and Comprehensive Module)"), E42 = ""),
    template_label_missing_value,
    IF(E32 = "", "", template_label_ok))</f>
        <v>OK</v>
      </c>
    </row>
    <row r="43" spans="1:7" x14ac:dyDescent="0.25">
      <c r="A43" s="584" t="s">
        <v>17</v>
      </c>
      <c r="B43" s="586">
        <v>4</v>
      </c>
      <c r="C43" s="578" t="str">
        <f>template_label_undertakings_legal_form</f>
        <v>Undertakings legal form</v>
      </c>
      <c r="D43" s="579"/>
      <c r="E43" s="26" t="s">
        <v>18</v>
      </c>
      <c r="F43" s="8" t="str">
        <f>IF(AND(OR(E32 = "Option A (Basic Module only)", E32 = "Option B (Basic Module and Comprehensive Module)"), E43 = ""),
    template_label_missing_value,
    IF(E32 = "", "", template_label_ok))</f>
        <v>OK</v>
      </c>
      <c r="G43" t="str">
        <f>template_label_other_warning</f>
        <v>ℹ️ When "other" is chosen as undertaking legal form please fill the row below</v>
      </c>
    </row>
    <row r="44" spans="1:7" x14ac:dyDescent="0.25">
      <c r="A44" s="585"/>
      <c r="B44" s="586"/>
      <c r="C44" s="587" t="str">
        <f>template_label_other_undertakings_legal_form_specification</f>
        <v>Other undertaking's legal form specification</v>
      </c>
      <c r="D44" s="588"/>
      <c r="E44" s="28"/>
      <c r="F44" s="8" t="str">
        <f>IF(AND(E43 = "other (please specify the legal form in the row below)", E44 &lt;&gt; ""),
    template_label_ok,
IF(AND(E43 = "other (please specify the legal form in the row below)", E44 = ""),
    template_label_missing_value,
IF(AND(E43 = "", E44 = ""),
    "",
IF(AND(E43 &lt;&gt; "other (please specify the legal form in the row below)", E44 = ""),
    "",
""))))</f>
        <v/>
      </c>
    </row>
    <row r="45" spans="1:7" ht="14.45" customHeight="1" x14ac:dyDescent="0.25">
      <c r="A45" s="574" t="s">
        <v>19</v>
      </c>
      <c r="B45" s="576" t="s">
        <v>20</v>
      </c>
      <c r="C45" s="578" t="str">
        <f>template_label_nace_sector_classification_code</f>
        <v>NACE sector classification code(s)</v>
      </c>
      <c r="D45" s="579"/>
      <c r="E45" s="26" t="s">
        <v>21</v>
      </c>
      <c r="F45" s="8" t="str">
        <f>IF(OR(E32 = "Option A (Basic Module only)", E32 = "Option B (Basic Module and Comprehensive Module)"),
    IF(COUNTIF(enum_ListNACECategories, E45) &gt; 0, template_label_error,
        IF(E45 = "", template_label_missing_value,
            IF(COUNTIF(E45:E59, E45) &gt; 1, template_label_value_inconsistency, template_label_ok)
        )
    ),
    ""
)</f>
        <v>OK</v>
      </c>
      <c r="G45" t="str">
        <f>template_label_NACE_warning</f>
        <v>ℹ️  Please select a NACE code rather than a category else an ERROR message will appear.</v>
      </c>
    </row>
    <row r="46" spans="1:7" ht="14.45" customHeight="1" outlineLevel="1" x14ac:dyDescent="0.25">
      <c r="A46" s="575"/>
      <c r="B46" s="577"/>
      <c r="C46" s="578"/>
      <c r="D46" s="579"/>
      <c r="E46" s="26" t="s">
        <v>22</v>
      </c>
      <c r="F46" s="8" t="str">
        <f t="shared" ref="F46:F59" si="2">IF(COUNTIF(enum_ListNACECategories, E46) &gt; 0, template_label_error,
IF(E46 = "", "",
IF(COUNTIF(E45:E59, E46) &gt; 1, template_label_value_inconsistency, template_label_ok)))</f>
        <v>OK</v>
      </c>
    </row>
    <row r="47" spans="1:7" ht="14.45" customHeight="1" outlineLevel="1" x14ac:dyDescent="0.25">
      <c r="A47" s="575"/>
      <c r="B47" s="577"/>
      <c r="C47" s="578"/>
      <c r="D47" s="579"/>
      <c r="E47" s="26"/>
      <c r="F47" s="8" t="str">
        <f t="shared" si="2"/>
        <v/>
      </c>
    </row>
    <row r="48" spans="1:7" ht="14.45" customHeight="1" outlineLevel="1" x14ac:dyDescent="0.25">
      <c r="A48" s="575"/>
      <c r="B48" s="577"/>
      <c r="C48" s="578"/>
      <c r="D48" s="579"/>
      <c r="E48" s="26"/>
      <c r="F48" s="8" t="str">
        <f t="shared" si="2"/>
        <v/>
      </c>
    </row>
    <row r="49" spans="1:6" ht="14.45" customHeight="1" outlineLevel="1" x14ac:dyDescent="0.25">
      <c r="A49" s="575"/>
      <c r="B49" s="577"/>
      <c r="C49" s="578"/>
      <c r="D49" s="579"/>
      <c r="E49" s="26"/>
      <c r="F49" s="8" t="str">
        <f t="shared" si="2"/>
        <v/>
      </c>
    </row>
    <row r="50" spans="1:6" ht="14.45" customHeight="1" outlineLevel="1" x14ac:dyDescent="0.25">
      <c r="A50" s="575"/>
      <c r="B50" s="577"/>
      <c r="C50" s="578"/>
      <c r="D50" s="579"/>
      <c r="E50" s="26"/>
      <c r="F50" s="8" t="str">
        <f t="shared" si="2"/>
        <v/>
      </c>
    </row>
    <row r="51" spans="1:6" ht="14.45" customHeight="1" outlineLevel="1" x14ac:dyDescent="0.25">
      <c r="A51" s="575"/>
      <c r="B51" s="577"/>
      <c r="C51" s="578"/>
      <c r="D51" s="579"/>
      <c r="E51" s="26"/>
      <c r="F51" s="8" t="str">
        <f t="shared" si="2"/>
        <v/>
      </c>
    </row>
    <row r="52" spans="1:6" ht="14.45" customHeight="1" outlineLevel="1" x14ac:dyDescent="0.25">
      <c r="A52" s="575"/>
      <c r="B52" s="577"/>
      <c r="C52" s="578"/>
      <c r="D52" s="579"/>
      <c r="E52" s="26"/>
      <c r="F52" s="8" t="str">
        <f t="shared" si="2"/>
        <v/>
      </c>
    </row>
    <row r="53" spans="1:6" ht="14.45" customHeight="1" outlineLevel="1" x14ac:dyDescent="0.25">
      <c r="A53" s="575"/>
      <c r="B53" s="577"/>
      <c r="C53" s="578"/>
      <c r="D53" s="579"/>
      <c r="E53" s="26"/>
      <c r="F53" s="8" t="str">
        <f t="shared" si="2"/>
        <v/>
      </c>
    </row>
    <row r="54" spans="1:6" ht="14.45" customHeight="1" outlineLevel="1" x14ac:dyDescent="0.25">
      <c r="A54" s="575"/>
      <c r="B54" s="577"/>
      <c r="C54" s="578"/>
      <c r="D54" s="579"/>
      <c r="E54" s="26"/>
      <c r="F54" s="8" t="str">
        <f t="shared" si="2"/>
        <v/>
      </c>
    </row>
    <row r="55" spans="1:6" ht="14.45" customHeight="1" outlineLevel="1" x14ac:dyDescent="0.25">
      <c r="A55" s="575"/>
      <c r="B55" s="577"/>
      <c r="C55" s="578"/>
      <c r="D55" s="579"/>
      <c r="E55" s="26"/>
      <c r="F55" s="8" t="str">
        <f t="shared" si="2"/>
        <v/>
      </c>
    </row>
    <row r="56" spans="1:6" ht="14.45" customHeight="1" outlineLevel="1" x14ac:dyDescent="0.25">
      <c r="A56" s="575"/>
      <c r="B56" s="577"/>
      <c r="C56" s="578"/>
      <c r="D56" s="579"/>
      <c r="E56" s="26"/>
      <c r="F56" s="8" t="str">
        <f t="shared" si="2"/>
        <v/>
      </c>
    </row>
    <row r="57" spans="1:6" ht="14.45" customHeight="1" outlineLevel="1" x14ac:dyDescent="0.25">
      <c r="A57" s="575"/>
      <c r="B57" s="577"/>
      <c r="C57" s="578"/>
      <c r="D57" s="579"/>
      <c r="E57" s="26"/>
      <c r="F57" s="8" t="str">
        <f t="shared" si="2"/>
        <v/>
      </c>
    </row>
    <row r="58" spans="1:6" ht="14.45" customHeight="1" outlineLevel="1" x14ac:dyDescent="0.25">
      <c r="A58" s="575"/>
      <c r="B58" s="577"/>
      <c r="C58" s="578"/>
      <c r="D58" s="579"/>
      <c r="E58" s="26"/>
      <c r="F58" s="8" t="str">
        <f t="shared" si="2"/>
        <v/>
      </c>
    </row>
    <row r="59" spans="1:6" ht="14.45" customHeight="1" outlineLevel="1" x14ac:dyDescent="0.25">
      <c r="A59" s="575"/>
      <c r="B59" s="577"/>
      <c r="C59" s="578"/>
      <c r="D59" s="579"/>
      <c r="E59" s="26"/>
      <c r="F59" s="8" t="str">
        <f t="shared" si="2"/>
        <v/>
      </c>
    </row>
    <row r="60" spans="1:6" ht="14.45" customHeight="1" x14ac:dyDescent="0.25">
      <c r="A60" s="317" t="s">
        <v>23</v>
      </c>
      <c r="B60" s="173" t="s">
        <v>11</v>
      </c>
      <c r="C60" s="578" t="str">
        <f>template_label_size_of_balance_sheet_in &amp; " " &amp; template_currency</f>
        <v>Size of balance sheet (total assets) in EUR</v>
      </c>
      <c r="D60" s="579"/>
      <c r="E60" s="29">
        <v>449507000</v>
      </c>
      <c r="F60" s="8" t="str">
        <f>IF(AND(OR(E32 = "Option A (Basic Module only)", E32 = "Option B (Basic Module and Comprehensive Module)"), E60 = ""),
    template_label_missing_value,
    IF(E32 = "", "", template_label_ok))</f>
        <v>OK</v>
      </c>
    </row>
    <row r="61" spans="1:6" ht="14.45" customHeight="1" x14ac:dyDescent="0.25">
      <c r="A61" s="317" t="s">
        <v>24</v>
      </c>
      <c r="B61" s="173" t="s">
        <v>11</v>
      </c>
      <c r="C61" s="578" t="str">
        <f>template_label_turnover_in &amp; " " &amp; template_currency</f>
        <v>Turnover in EUR</v>
      </c>
      <c r="D61" s="579"/>
      <c r="E61" s="29">
        <v>343211000</v>
      </c>
      <c r="F61" s="8" t="str">
        <f>IF(AND(OR(E32 = "Option A (Basic Module only)", E32 = "Option B (Basic Module and Comprehensive Module)"), E61 = ""),
    template_label_missing_value,
    IF(E32 = "", "", template_label_ok))</f>
        <v>OK</v>
      </c>
    </row>
    <row r="62" spans="1:6" ht="14.45" customHeight="1" x14ac:dyDescent="0.25">
      <c r="A62" s="317" t="s">
        <v>25</v>
      </c>
      <c r="B62" s="321" t="s">
        <v>26</v>
      </c>
      <c r="C62" s="578" t="str">
        <f>+template_label_number_of_employees</f>
        <v>Number of employees</v>
      </c>
      <c r="D62" s="579"/>
      <c r="E62" s="30">
        <v>1146</v>
      </c>
      <c r="F62" s="8" t="str">
        <f>IF(AND(OR(E32 = "Option A (Basic Module only)", E32 = "Option B (Basic Module and Comprehensive Module)"), E62 = ""),
    template_label_missing_value,
    IF(E32 = "", "", template_label_ok))</f>
        <v>OK</v>
      </c>
    </row>
    <row r="63" spans="1:6" ht="14.45" customHeight="1" x14ac:dyDescent="0.25">
      <c r="A63" s="317" t="s">
        <v>25</v>
      </c>
      <c r="B63" s="321" t="s">
        <v>26</v>
      </c>
      <c r="C63" s="582" t="str">
        <f>template_label_employee_counting_methodology_end_of_reporting_period_or_average_during_the_reporting_period</f>
        <v>Employee counting methodology (At the end of reporting period or as an average during the reporting period)</v>
      </c>
      <c r="D63" s="583"/>
      <c r="E63" s="30" t="s">
        <v>27</v>
      </c>
      <c r="F63" s="8" t="str">
        <f>IF(AND(OR(E32 = "Option A (Basic Module only)", E32 = "Option B (Basic Module and Comprehensive Module)"), E63 = ""),
    template_label_missing_value,
    IF(E32 = "", "", template_label_ok))</f>
        <v>OK</v>
      </c>
    </row>
    <row r="64" spans="1:6" ht="14.45" customHeight="1" x14ac:dyDescent="0.25">
      <c r="A64" s="317" t="s">
        <v>25</v>
      </c>
      <c r="B64" s="321" t="s">
        <v>26</v>
      </c>
      <c r="C64" s="578" t="str">
        <f>template_label_employee_counting_methodology_headcount_or_fulltime_equivalent</f>
        <v>Employee counting methodology (Headcount or Full-time equivalent)</v>
      </c>
      <c r="D64" s="579"/>
      <c r="E64" s="27" t="s">
        <v>28</v>
      </c>
      <c r="F64" s="8" t="str">
        <f>IF(AND(OR(E32 = "Option A (Basic Module only)", E32 = "Option B (Basic Module and Comprehensive Module)"), E64 = ""),
    template_label_missing_value,
    IF(E32 = "", "", template_label_ok))</f>
        <v>OK</v>
      </c>
    </row>
    <row r="65" spans="1:7" ht="14.45" customHeight="1" thickBot="1" x14ac:dyDescent="0.3">
      <c r="A65" s="317" t="s">
        <v>29</v>
      </c>
      <c r="B65" s="338" t="s">
        <v>30</v>
      </c>
      <c r="C65" s="580" t="str">
        <f>template_label_country_of_primary_operations_and_location_of_significant_asset</f>
        <v>Country of primary operations and location of significant asset(s)</v>
      </c>
      <c r="D65" s="581"/>
      <c r="E65" s="31" t="s">
        <v>31</v>
      </c>
      <c r="F65" s="8" t="str">
        <f>IF(AND(OR(E32 = "Option A (Basic Module only)", E32 = "Option B (Basic Module and Comprehensive Module)"), E65 = ""),
    template_label_missing_value,
    IF(E32 = "", "", template_label_ok))</f>
        <v>OK</v>
      </c>
    </row>
    <row r="66" spans="1:7" ht="15.75" thickBot="1" x14ac:dyDescent="0.3">
      <c r="A66" s="171"/>
      <c r="B66" s="339"/>
    </row>
    <row r="67" spans="1:7" ht="14.45" customHeight="1" x14ac:dyDescent="0.25">
      <c r="A67" s="54"/>
      <c r="B67" s="54"/>
      <c r="C67" s="350" t="str">
        <f xml:space="preserve"> template_label_b1_list_of_subsidiaries &amp; " " &amp; template_label_from &amp; " " &amp; template_starting_date_display &amp; " " &amp; template_label_to &amp; " " &amp; template_ending_date_display &amp; " " &amp; template_label_if_applicable</f>
        <v>B1 - List of subsidiaries from 2025-01-01 to 2025-12-31 [If applicable]</v>
      </c>
      <c r="D67" s="351"/>
      <c r="E67" s="352"/>
    </row>
    <row r="68" spans="1:7" ht="14.45" customHeight="1" x14ac:dyDescent="0.25">
      <c r="A68" s="54"/>
      <c r="B68" s="54"/>
      <c r="C68" s="353" t="s">
        <v>32</v>
      </c>
      <c r="D68" s="354"/>
      <c r="E68" s="355"/>
      <c r="F68" s="60"/>
    </row>
    <row r="69" spans="1:7" ht="14.45" customHeight="1" x14ac:dyDescent="0.25">
      <c r="A69" s="54"/>
      <c r="B69" s="54"/>
      <c r="C69" s="2" t="str">
        <f>template_label_id</f>
        <v>ID</v>
      </c>
      <c r="D69" t="str">
        <f>template_label_name</f>
        <v>Name</v>
      </c>
      <c r="E69" s="299" t="str">
        <f>template_label_registered_address</f>
        <v>Registered Address</v>
      </c>
    </row>
    <row r="70" spans="1:7" ht="14.45" customHeight="1" thickBot="1" x14ac:dyDescent="0.3">
      <c r="A70" s="54"/>
      <c r="B70" s="54"/>
      <c r="C70" s="157">
        <v>1</v>
      </c>
      <c r="D70" s="32" t="s">
        <v>33</v>
      </c>
      <c r="E70" s="33" t="s">
        <v>34</v>
      </c>
      <c r="F70" s="8" t="str">
        <f>IF(AND(BasisForReporting="Sustainability report prepared on a consolidated basis", D70&lt;&gt;"", E70=""), template_label_missing_value,
IF(AND(BasisForReporting="Sustainability report prepared on a consolidated basis", D70&lt;&gt;"", E70&lt;&gt;""), template_label_ok,
IF(AND(BasisForReporting="Sustainability report prepared on a consolidated basis", D70="", E70=""), template_label_missing_value, "")))</f>
        <v>OK</v>
      </c>
      <c r="G70" t="str">
        <f>template_label_additional_rows_warning</f>
        <v>ℹ️  Lists can be expanded using the little [+] button on the left.  If the number of rows is not sufficient, those can be added by right clicking the second row and selecting "Insert row".</v>
      </c>
    </row>
    <row r="71" spans="1:7" ht="14.45" customHeight="1" outlineLevel="1" x14ac:dyDescent="0.25">
      <c r="A71" s="54"/>
      <c r="B71" s="54"/>
      <c r="C71" s="286">
        <v>2</v>
      </c>
      <c r="D71" s="34" t="s">
        <v>35</v>
      </c>
      <c r="E71" s="35" t="s">
        <v>34</v>
      </c>
      <c r="F71" s="52" t="str">
        <f t="shared" ref="F71:F94" si="3">IF(AND(D71&lt;&gt;"",E71=""), template_label_missing_value,
IF(AND(D71&lt;&gt;"",E71&lt;&gt;""), template_label_ok,
IF(AND(D71="",E71=""), "", template_label_missing_value)))</f>
        <v>OK</v>
      </c>
    </row>
    <row r="72" spans="1:7" ht="14.45" customHeight="1" outlineLevel="1" x14ac:dyDescent="0.25">
      <c r="C72" s="155">
        <v>3</v>
      </c>
      <c r="D72" s="36" t="s">
        <v>36</v>
      </c>
      <c r="E72" s="37" t="s">
        <v>34</v>
      </c>
      <c r="F72" s="52" t="str">
        <f t="shared" si="3"/>
        <v>OK</v>
      </c>
    </row>
    <row r="73" spans="1:7" ht="14.45" customHeight="1" outlineLevel="1" x14ac:dyDescent="0.25">
      <c r="C73" s="155">
        <v>4</v>
      </c>
      <c r="D73" s="36" t="s">
        <v>37</v>
      </c>
      <c r="E73" s="37" t="s">
        <v>38</v>
      </c>
      <c r="F73" s="52" t="str">
        <f t="shared" si="3"/>
        <v>OK</v>
      </c>
    </row>
    <row r="74" spans="1:7" ht="14.45" customHeight="1" outlineLevel="1" x14ac:dyDescent="0.25">
      <c r="C74" s="156">
        <v>5</v>
      </c>
      <c r="D74" s="36" t="s">
        <v>39</v>
      </c>
      <c r="E74" s="37" t="s">
        <v>40</v>
      </c>
      <c r="F74" s="52" t="str">
        <f t="shared" si="3"/>
        <v>OK</v>
      </c>
    </row>
    <row r="75" spans="1:7" ht="14.45" customHeight="1" outlineLevel="1" x14ac:dyDescent="0.25">
      <c r="C75" s="155">
        <v>6</v>
      </c>
      <c r="D75" s="36" t="s">
        <v>41</v>
      </c>
      <c r="E75" s="37" t="s">
        <v>42</v>
      </c>
      <c r="F75" s="52" t="str">
        <f t="shared" si="3"/>
        <v>OK</v>
      </c>
    </row>
    <row r="76" spans="1:7" ht="14.45" customHeight="1" outlineLevel="1" x14ac:dyDescent="0.25">
      <c r="C76" s="155">
        <v>7</v>
      </c>
      <c r="D76" s="36" t="s">
        <v>43</v>
      </c>
      <c r="E76" s="37" t="s">
        <v>44</v>
      </c>
      <c r="F76" s="52" t="str">
        <f t="shared" si="3"/>
        <v>OK</v>
      </c>
    </row>
    <row r="77" spans="1:7" ht="14.45" customHeight="1" outlineLevel="1" x14ac:dyDescent="0.25">
      <c r="C77" s="156">
        <v>8</v>
      </c>
      <c r="D77" s="36" t="s">
        <v>45</v>
      </c>
      <c r="E77" s="37" t="s">
        <v>46</v>
      </c>
      <c r="F77" s="52" t="str">
        <f t="shared" si="3"/>
        <v>OK</v>
      </c>
    </row>
    <row r="78" spans="1:7" ht="14.45" customHeight="1" outlineLevel="1" x14ac:dyDescent="0.25">
      <c r="C78" s="155">
        <v>9</v>
      </c>
      <c r="D78" s="36" t="s">
        <v>47</v>
      </c>
      <c r="E78" s="37" t="s">
        <v>48</v>
      </c>
      <c r="F78" s="52" t="str">
        <f t="shared" si="3"/>
        <v>OK</v>
      </c>
    </row>
    <row r="79" spans="1:7" ht="14.45" customHeight="1" outlineLevel="1" x14ac:dyDescent="0.25">
      <c r="C79" s="155">
        <v>10</v>
      </c>
      <c r="D79" s="36" t="s">
        <v>49</v>
      </c>
      <c r="E79" s="37" t="s">
        <v>50</v>
      </c>
      <c r="F79" s="52" t="str">
        <f t="shared" si="3"/>
        <v>OK</v>
      </c>
    </row>
    <row r="80" spans="1:7" ht="14.45" customHeight="1" outlineLevel="1" x14ac:dyDescent="0.25">
      <c r="C80" s="156">
        <v>11</v>
      </c>
      <c r="D80" s="36" t="s">
        <v>51</v>
      </c>
      <c r="E80" s="37" t="s">
        <v>52</v>
      </c>
      <c r="F80" s="52" t="str">
        <f t="shared" si="3"/>
        <v>OK</v>
      </c>
    </row>
    <row r="81" spans="3:8" ht="14.45" customHeight="1" outlineLevel="1" x14ac:dyDescent="0.25">
      <c r="C81" s="155">
        <v>12</v>
      </c>
      <c r="D81" s="36" t="s">
        <v>53</v>
      </c>
      <c r="E81" s="37" t="s">
        <v>54</v>
      </c>
      <c r="F81" s="52" t="str">
        <f t="shared" si="3"/>
        <v>OK</v>
      </c>
    </row>
    <row r="82" spans="3:8" ht="14.45" customHeight="1" outlineLevel="1" x14ac:dyDescent="0.25">
      <c r="C82" s="155">
        <v>13</v>
      </c>
      <c r="D82" s="36"/>
      <c r="E82" s="37"/>
      <c r="F82" s="52" t="str">
        <f t="shared" si="3"/>
        <v/>
      </c>
    </row>
    <row r="83" spans="3:8" ht="14.45" customHeight="1" outlineLevel="1" x14ac:dyDescent="0.25">
      <c r="C83" s="156">
        <v>14</v>
      </c>
      <c r="D83" s="36"/>
      <c r="E83" s="37"/>
      <c r="F83" s="52" t="str">
        <f t="shared" si="3"/>
        <v/>
      </c>
    </row>
    <row r="84" spans="3:8" ht="14.45" customHeight="1" outlineLevel="1" x14ac:dyDescent="0.25">
      <c r="C84" s="155">
        <v>15</v>
      </c>
      <c r="D84" s="36"/>
      <c r="E84" s="37"/>
      <c r="F84" s="52" t="str">
        <f t="shared" si="3"/>
        <v/>
      </c>
    </row>
    <row r="85" spans="3:8" ht="14.45" customHeight="1" outlineLevel="1" x14ac:dyDescent="0.25">
      <c r="C85" s="155">
        <v>16</v>
      </c>
      <c r="D85" s="36"/>
      <c r="E85" s="37"/>
      <c r="F85" s="52" t="str">
        <f t="shared" si="3"/>
        <v/>
      </c>
    </row>
    <row r="86" spans="3:8" ht="14.45" customHeight="1" outlineLevel="1" x14ac:dyDescent="0.25">
      <c r="C86" s="156">
        <v>17</v>
      </c>
      <c r="D86" s="36"/>
      <c r="E86" s="37"/>
      <c r="F86" s="52" t="str">
        <f t="shared" si="3"/>
        <v/>
      </c>
    </row>
    <row r="87" spans="3:8" ht="14.45" customHeight="1" outlineLevel="1" x14ac:dyDescent="0.25">
      <c r="C87" s="155">
        <v>18</v>
      </c>
      <c r="D87" s="36"/>
      <c r="E87" s="37"/>
      <c r="F87" s="52" t="str">
        <f t="shared" si="3"/>
        <v/>
      </c>
    </row>
    <row r="88" spans="3:8" ht="14.45" customHeight="1" outlineLevel="1" x14ac:dyDescent="0.25">
      <c r="C88" s="155">
        <v>19</v>
      </c>
      <c r="D88" s="36"/>
      <c r="E88" s="37"/>
      <c r="F88" s="52" t="str">
        <f t="shared" si="3"/>
        <v/>
      </c>
    </row>
    <row r="89" spans="3:8" ht="14.45" customHeight="1" outlineLevel="1" x14ac:dyDescent="0.25">
      <c r="C89" s="156">
        <v>20</v>
      </c>
      <c r="D89" s="36"/>
      <c r="E89" s="37"/>
      <c r="F89" s="52" t="str">
        <f t="shared" si="3"/>
        <v/>
      </c>
    </row>
    <row r="90" spans="3:8" ht="14.45" customHeight="1" outlineLevel="1" x14ac:dyDescent="0.25">
      <c r="C90" s="155">
        <v>21</v>
      </c>
      <c r="D90" s="36"/>
      <c r="E90" s="37"/>
      <c r="F90" s="52" t="str">
        <f t="shared" si="3"/>
        <v/>
      </c>
    </row>
    <row r="91" spans="3:8" ht="14.45" customHeight="1" outlineLevel="1" x14ac:dyDescent="0.25">
      <c r="C91" s="155">
        <v>22</v>
      </c>
      <c r="D91" s="36"/>
      <c r="E91" s="37"/>
      <c r="F91" s="52" t="str">
        <f t="shared" si="3"/>
        <v/>
      </c>
    </row>
    <row r="92" spans="3:8" ht="14.45" customHeight="1" outlineLevel="1" x14ac:dyDescent="0.25">
      <c r="C92" s="156">
        <v>23</v>
      </c>
      <c r="D92" s="36"/>
      <c r="E92" s="37"/>
      <c r="F92" s="52" t="str">
        <f t="shared" si="3"/>
        <v/>
      </c>
    </row>
    <row r="93" spans="3:8" ht="14.45" customHeight="1" outlineLevel="1" x14ac:dyDescent="0.25">
      <c r="C93" s="155">
        <v>24</v>
      </c>
      <c r="D93" s="36"/>
      <c r="E93" s="37"/>
      <c r="F93" s="52" t="str">
        <f t="shared" si="3"/>
        <v/>
      </c>
    </row>
    <row r="94" spans="3:8" ht="14.45" customHeight="1" outlineLevel="1" thickBot="1" x14ac:dyDescent="0.3">
      <c r="C94" s="157">
        <v>25</v>
      </c>
      <c r="D94" s="38"/>
      <c r="E94" s="33"/>
      <c r="F94" s="52" t="str">
        <f t="shared" si="3"/>
        <v/>
      </c>
    </row>
    <row r="95" spans="3:8" ht="15.75" thickBot="1" x14ac:dyDescent="0.3"/>
    <row r="96" spans="3:8" ht="14.45" customHeight="1" x14ac:dyDescent="0.25">
      <c r="C96" s="412" t="str">
        <f xml:space="preserve"> template_label_b1_disclosure_of_sustainability_related_certification_or_label &amp; " " &amp; template_label_from &amp; " " &amp; template_starting_date_display &amp; " " &amp; template_label_to &amp; " " &amp; template_ending_date_display &amp; " " &amp; template_label_if_applicable</f>
        <v>B1 - Disclosure of sustainability-related certification(s) or label(s) from 2025-01-01 to 2025-12-31 [If applicable]</v>
      </c>
      <c r="D96" s="413"/>
      <c r="E96" s="413"/>
      <c r="F96" s="413"/>
      <c r="G96" s="413"/>
      <c r="H96" s="414"/>
    </row>
    <row r="97" spans="3:13" ht="14.45" customHeight="1" x14ac:dyDescent="0.25">
      <c r="C97" s="353">
        <v>25</v>
      </c>
      <c r="D97" s="354"/>
      <c r="E97" s="354"/>
      <c r="F97" s="354"/>
      <c r="G97" s="354"/>
      <c r="H97" s="355"/>
    </row>
    <row r="98" spans="3:13" ht="14.45" customHeight="1" x14ac:dyDescent="0.25">
      <c r="C98" s="629">
        <v>13</v>
      </c>
      <c r="D98" s="630"/>
      <c r="E98" s="630"/>
      <c r="F98" s="630"/>
      <c r="G98" s="630"/>
      <c r="H98" s="631"/>
    </row>
    <row r="99" spans="3:13" ht="14.45" customHeight="1" x14ac:dyDescent="0.25">
      <c r="C99" s="636" t="str">
        <f>template_label_has_the_undertaking_put_in_place_specific_practices_policies_and_or_future</f>
        <v>Has the undertaking put in place specific practices policies and or future initiatives for transitioning towards a more sustainable economy?</v>
      </c>
      <c r="D99" s="637"/>
      <c r="E99" s="398" t="b">
        <v>1</v>
      </c>
      <c r="F99" s="399"/>
      <c r="G99" s="399"/>
      <c r="H99" s="400"/>
    </row>
    <row r="100" spans="3:13" ht="30" customHeight="1" thickBot="1" x14ac:dyDescent="0.3">
      <c r="C100" s="605" t="str">
        <f>template_label_description_of_sustainability_related_certification_or_label</f>
        <v>Description of sustainability-related certification(s) or label(s) including where relevant the issuers of the certification or label date and rating score</v>
      </c>
      <c r="D100" s="606"/>
      <c r="E100" s="568" t="s">
        <v>55</v>
      </c>
      <c r="F100" s="569"/>
      <c r="G100" s="569"/>
      <c r="H100" s="570"/>
      <c r="I100" s="13" t="str">
        <f>IF(AND(E99=TRUE,E100=""), template_label_missing_value,
IF(AND(E99=TRUE,E100&lt;&gt;""), template_label_ok, ""))</f>
        <v>OK</v>
      </c>
    </row>
    <row r="101" spans="3:13" ht="15.75" thickBot="1" x14ac:dyDescent="0.3"/>
    <row r="102" spans="3:13" x14ac:dyDescent="0.25">
      <c r="C102" s="350" t="str">
        <f>template_label_b1_list_of_site&amp; " " &amp; template_label_from &amp; " " &amp; template_starting_date_display &amp; " " &amp; template_label_to &amp; " " &amp; template_ending_date_display &amp; " " &amp; template_label_always_to_be_reported</f>
        <v>B1 - List of site(s) from 2025-01-01 to 2025-12-31 [Always to be reported]</v>
      </c>
      <c r="D102" s="351"/>
      <c r="E102" s="351"/>
      <c r="F102" s="351"/>
      <c r="G102" s="351"/>
      <c r="H102" s="352"/>
    </row>
    <row r="103" spans="3:13" x14ac:dyDescent="0.25">
      <c r="C103" s="353" t="s">
        <v>56</v>
      </c>
      <c r="D103" s="354"/>
      <c r="E103" s="354"/>
      <c r="F103" s="354"/>
      <c r="G103" s="354"/>
      <c r="H103" s="355"/>
    </row>
    <row r="104" spans="3:13" x14ac:dyDescent="0.25">
      <c r="C104" s="638" t="s">
        <v>57</v>
      </c>
      <c r="D104" s="639"/>
      <c r="E104" s="639"/>
      <c r="F104" s="639"/>
      <c r="G104" s="639"/>
      <c r="H104" s="640"/>
    </row>
    <row r="105" spans="3:13" x14ac:dyDescent="0.25">
      <c r="C105" s="539" t="str">
        <f>template_label_id</f>
        <v>ID</v>
      </c>
      <c r="D105" s="542" t="str">
        <f>template_label_address</f>
        <v>Address</v>
      </c>
      <c r="E105" s="542" t="str">
        <f>template_label_postal_code</f>
        <v>Postal code</v>
      </c>
      <c r="F105" s="535" t="str">
        <f>template_label_city</f>
        <v>City</v>
      </c>
      <c r="G105" s="542" t="str">
        <f>template_label_country</f>
        <v>Country</v>
      </c>
      <c r="H105" s="151" t="str">
        <f>template_label_gps_coordinates</f>
        <v>GPS Coordinates (geolocation)</v>
      </c>
      <c r="I105" s="61"/>
    </row>
    <row r="106" spans="3:13" ht="78" customHeight="1" x14ac:dyDescent="0.25">
      <c r="C106" s="540"/>
      <c r="D106" s="543"/>
      <c r="E106" s="543"/>
      <c r="F106" s="545"/>
      <c r="G106" s="543"/>
      <c r="H106" s="302" t="str">
        <f>template_label_automatic_geolocation</f>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I106" s="61"/>
      <c r="J106" s="1"/>
    </row>
    <row r="107" spans="3:13" ht="53.45" customHeight="1" x14ac:dyDescent="0.25">
      <c r="C107" s="540"/>
      <c r="D107" s="543"/>
      <c r="E107" s="543"/>
      <c r="F107" s="545"/>
      <c r="G107" s="543"/>
      <c r="H107" s="301" t="s">
        <v>58</v>
      </c>
      <c r="I107" s="300"/>
      <c r="J107" s="1"/>
    </row>
    <row r="108" spans="3:13" x14ac:dyDescent="0.25">
      <c r="C108" s="541"/>
      <c r="D108" s="544"/>
      <c r="E108" s="544"/>
      <c r="F108" s="536"/>
      <c r="G108" s="544"/>
      <c r="H108" s="284" t="b">
        <v>0</v>
      </c>
      <c r="I108" s="61"/>
      <c r="J108" s="250"/>
    </row>
    <row r="109" spans="3:13" x14ac:dyDescent="0.25">
      <c r="C109" s="155">
        <v>1</v>
      </c>
      <c r="D109" s="39" t="s">
        <v>59</v>
      </c>
      <c r="E109" s="40" t="s">
        <v>60</v>
      </c>
      <c r="F109" s="41" t="s">
        <v>61</v>
      </c>
      <c r="G109" s="39" t="s">
        <v>31</v>
      </c>
      <c r="H109" s="143" t="str">
        <f>IF(COUNTA(D109:G109)=COLUMNS(D109:G109), IFERROR('Technical Sheet'!G2, "-"), "-")</f>
        <v>-</v>
      </c>
      <c r="I109" s="14" t="str">
        <f>IF(OR(E32="Option A (Basic Module only)", E32="Option B (Basic Module and Comprehensive Module)"),
    IF(AND(D109&lt;&gt;"", E109&lt;&gt;"", F109&lt;&gt;"", G109&lt;&gt;"", H109&lt;&gt;""),
        template_label_ok,
        template_label_missing_value
    ),
    ""
)</f>
        <v>OK</v>
      </c>
      <c r="J109" s="150" t="str">
        <f>IF(AND(D109&lt;&gt;"", E109&lt;&gt;"", F109&lt;&gt;"", G109&lt;&gt;""),
    IFERROR(HYPERLINK("https://www.openstreetmap.org/search?lat=" &amp; 'Technical Sheet'!E2 &amp; "&amp;lon=" &amp; 'Technical Sheet'!F2, "OpenStreetMap Link"),
    ""),
"")</f>
        <v/>
      </c>
      <c r="K109" s="62" t="str">
        <f t="shared" ref="K109:K133" si="4">LOWER(SUBSTITUTE(D109," ","+" )) &amp; "+" &amp; LOWER(SUBSTITUTE(E109," ","+" )) &amp; "+" &amp; LOWER(SUBSTITUTE(F109," ","+" )) &amp; "+" &amp; LOWER(SUBSTITUTE(G109," ","+" )) &amp; "+"</f>
        <v>1+avenue+du+molinel+59290+wasquehal+france+</v>
      </c>
      <c r="L109" t="str">
        <f>template_label_geolocalisation_warning</f>
        <v>ℹ️  Please be careful to separate each street number and house number using the slash symbol "/" and not the comma ","</v>
      </c>
      <c r="M109" s="55"/>
    </row>
    <row r="110" spans="3:13" x14ac:dyDescent="0.25">
      <c r="C110" s="156">
        <v>2</v>
      </c>
      <c r="D110" s="42" t="s">
        <v>62</v>
      </c>
      <c r="E110" s="43" t="s">
        <v>63</v>
      </c>
      <c r="F110" s="44" t="s">
        <v>64</v>
      </c>
      <c r="G110" s="39" t="s">
        <v>31</v>
      </c>
      <c r="H110" s="143" t="str">
        <f>IF(COUNTA(D110:G110)=COLUMNS(D110:G110), IFERROR('Technical Sheet'!G3, "-"), "-")</f>
        <v>-</v>
      </c>
      <c r="I110" s="14" t="str">
        <f t="shared" ref="I110:I133" si="5">IF(AND(D110&lt;&gt;"", E110&lt;&gt;"", F110&lt;&gt;"", G110&lt;&gt;"", H110&lt;&gt;""), template_label_ok,
    IF(AND(D110="", E110="", F110="", G110="", H110="-"), "",
        template_label_missing_value
    )
)</f>
        <v>OK</v>
      </c>
      <c r="J110" s="150" t="str">
        <f>IF(AND(D110&lt;&gt;"", E110&lt;&gt;"", F110&lt;&gt;"", G110&lt;&gt;""),
    IFERROR(HYPERLINK("https://www.openstreetmap.org/search?lat=" &amp; 'Technical Sheet'!E3 &amp; "&amp;lon=" &amp; 'Technical Sheet'!F3, "OpenStreetMap Link"),
    ""),
"")</f>
        <v/>
      </c>
      <c r="K110" s="62" t="str">
        <f>LOWER(SUBSTITUTE(D110," ","+" )) &amp; "+" &amp; LOWER(SUBSTITUTE(E110," ","+" )) &amp; "+" &amp; LOWER(SUBSTITUTE(F110," ","+" )) &amp; "+" &amp; LOWER(SUBSTITUTE(G110," ","+" )) &amp; "+"</f>
        <v>13+-+15,+rue+louis+braille+59370+mons+en+baroeul+france+</v>
      </c>
    </row>
    <row r="111" spans="3:13" ht="15.75" thickBot="1" x14ac:dyDescent="0.3">
      <c r="C111" s="157">
        <v>3</v>
      </c>
      <c r="D111" s="45" t="s">
        <v>65</v>
      </c>
      <c r="E111" s="46" t="s">
        <v>66</v>
      </c>
      <c r="F111" s="47" t="s">
        <v>67</v>
      </c>
      <c r="G111" s="45" t="s">
        <v>68</v>
      </c>
      <c r="H111" s="144" t="str">
        <f>IF(COUNTA(D111:G111)=COLUMNS(D111:G111), IFERROR('Technical Sheet'!G4, "-"), "-")</f>
        <v>-</v>
      </c>
      <c r="I111" s="14" t="str">
        <f t="shared" si="5"/>
        <v>OK</v>
      </c>
      <c r="J111" s="150" t="str">
        <f>IF(AND(D111&lt;&gt;"", E111&lt;&gt;"", F111&lt;&gt;"", G111&lt;&gt;""),
    IFERROR(HYPERLINK("https://www.openstreetmap.org/search?lat=" &amp; 'Technical Sheet'!E4 &amp; "&amp;lon=" &amp; 'Technical Sheet'!F4, "OpenStreetMap Link"),
    ""),
"")</f>
        <v/>
      </c>
      <c r="K111" s="62" t="str">
        <f>LOWER(SUBSTITUTE(D111," ","+" )) &amp; "+" &amp; LOWER(SUBSTITUTE(E111," ","+" )) &amp; "+" &amp; LOWER(SUBSTITUTE(F111," ","+" )) &amp; "+" &amp; LOWER(SUBSTITUTE(G111," ","+" )) &amp; "+"</f>
        <v>labcampus+48+85356+munich+germany+</v>
      </c>
      <c r="L111" t="str">
        <f>template_label_additional_rows_warning</f>
        <v>ℹ️  Lists can be expanded using the little [+] button on the left.  If the number of rows is not sufficient, those can be added by right clicking the second row and selecting "Insert row".</v>
      </c>
    </row>
    <row r="112" spans="3:13" outlineLevel="1" x14ac:dyDescent="0.25">
      <c r="C112" s="156">
        <v>4</v>
      </c>
      <c r="D112" s="42" t="s">
        <v>69</v>
      </c>
      <c r="E112" s="43" t="s">
        <v>70</v>
      </c>
      <c r="F112" s="44" t="s">
        <v>71</v>
      </c>
      <c r="G112" s="42" t="s">
        <v>72</v>
      </c>
      <c r="H112" s="145" t="str">
        <f>IF(COUNTA(D112:G112)=COLUMNS(D112:G112), IFERROR('Technical Sheet'!G5, "-"), "-")</f>
        <v>-</v>
      </c>
      <c r="I112" s="14" t="str">
        <f t="shared" si="5"/>
        <v>OK</v>
      </c>
      <c r="J112" s="150" t="str">
        <f>IF(AND(D112&lt;&gt;"", E112&lt;&gt;"", F112&lt;&gt;"", G112&lt;&gt;""),
    IFERROR(HYPERLINK("https://www.openstreetmap.org/search?lat=" &amp; 'Technical Sheet'!E5 &amp; "&amp;lon=" &amp; 'Technical Sheet'!F5, "OpenStreetMap Link"),
    ""),
"")</f>
        <v/>
      </c>
      <c r="K112" s="62" t="str">
        <f t="shared" si="4"/>
        <v>8th+floor+south,+11+old+jewry+ec2r+8du+london+united+kingdom+of+great+britain+and+northern+ireland+</v>
      </c>
    </row>
    <row r="113" spans="3:11" outlineLevel="1" x14ac:dyDescent="0.25">
      <c r="C113" s="156">
        <v>5</v>
      </c>
      <c r="D113" s="39" t="s">
        <v>73</v>
      </c>
      <c r="E113" s="40" t="s">
        <v>74</v>
      </c>
      <c r="F113" s="41" t="s">
        <v>75</v>
      </c>
      <c r="G113" s="39" t="s">
        <v>76</v>
      </c>
      <c r="H113" s="143" t="str">
        <f>IF(COUNTA(D113:G113)=COLUMNS(D113:G113), IFERROR('Technical Sheet'!G6, "-"), "-")</f>
        <v>-</v>
      </c>
      <c r="I113" s="14" t="str">
        <f t="shared" si="5"/>
        <v>OK</v>
      </c>
      <c r="J113" s="150" t="str">
        <f>IF(AND(D113&lt;&gt;"", E113&lt;&gt;"", F113&lt;&gt;"", G113&lt;&gt;""),
    IFERROR(HYPERLINK("https://www.openstreetmap.org/search?lat=" &amp; 'Technical Sheet'!E6 &amp; "&amp;lon=" &amp; 'Technical Sheet'!F6, "OpenStreetMap Link"),
    ""),
"")</f>
        <v/>
      </c>
      <c r="K113" s="62" t="str">
        <f t="shared" si="4"/>
        <v>rhijnspoorplein+10,+sarphati+plaza+1018+tx+amsterdam+netherlands+</v>
      </c>
    </row>
    <row r="114" spans="3:11" outlineLevel="1" x14ac:dyDescent="0.25">
      <c r="C114" s="155">
        <v>6</v>
      </c>
      <c r="D114" s="39" t="s">
        <v>77</v>
      </c>
      <c r="E114" s="40" t="s">
        <v>78</v>
      </c>
      <c r="F114" s="41" t="s">
        <v>79</v>
      </c>
      <c r="G114" s="39" t="s">
        <v>80</v>
      </c>
      <c r="H114" s="143" t="str">
        <f>IF(COUNTA(D114:G114)=COLUMNS(D114:G114), IFERROR('Technical Sheet'!G7, "-"), "-")</f>
        <v>-</v>
      </c>
      <c r="I114" s="14" t="str">
        <f t="shared" si="5"/>
        <v>OK</v>
      </c>
      <c r="J114" s="150" t="str">
        <f>IF(AND(D114&lt;&gt;"", E114&lt;&gt;"", F114&lt;&gt;"", G114&lt;&gt;""),
    IFERROR(HYPERLINK("https://www.openstreetmap.org/search?lat=" &amp; 'Technical Sheet'!E7 &amp; "&amp;lon=" &amp; 'Technical Sheet'!F7, "OpenStreetMap Link"),
    ""),
"")</f>
        <v/>
      </c>
      <c r="K114" s="62" t="str">
        <f t="shared" si="4"/>
        <v>corso+giacomo+matteotti+1+20121+milan+italy+</v>
      </c>
    </row>
    <row r="115" spans="3:11" outlineLevel="1" x14ac:dyDescent="0.25">
      <c r="C115" s="155">
        <v>7</v>
      </c>
      <c r="D115" s="39" t="s">
        <v>81</v>
      </c>
      <c r="E115" s="40" t="s">
        <v>82</v>
      </c>
      <c r="F115" s="41" t="s">
        <v>83</v>
      </c>
      <c r="G115" s="39" t="s">
        <v>84</v>
      </c>
      <c r="H115" s="143" t="str">
        <f>IF(COUNTA(D115:G115)=COLUMNS(D115:G115), IFERROR('Technical Sheet'!G8, "-"), "-")</f>
        <v>-</v>
      </c>
      <c r="I115" s="14" t="str">
        <f t="shared" si="5"/>
        <v>OK</v>
      </c>
      <c r="J115" s="150" t="str">
        <f>IF(AND(D115&lt;&gt;"", E115&lt;&gt;"", F115&lt;&gt;"", G115&lt;&gt;""),
    IFERROR(HYPERLINK("https://www.openstreetmap.org/search?lat=" &amp; 'Technical Sheet'!E8 &amp; "&amp;lon=" &amp; 'Technical Sheet'!F8, "OpenStreetMap Link"),
    ""),
"")</f>
        <v/>
      </c>
      <c r="K115" s="62" t="str">
        <f t="shared" si="4"/>
        <v>shinagawa+intercity+tower+a+18f,+2-15-1+konan,+minato-ku+108-6018+tokyo+japan+</v>
      </c>
    </row>
    <row r="116" spans="3:11" outlineLevel="1" x14ac:dyDescent="0.25">
      <c r="C116" s="156">
        <v>8</v>
      </c>
      <c r="D116" s="39" t="s">
        <v>85</v>
      </c>
      <c r="E116" s="40" t="s">
        <v>86</v>
      </c>
      <c r="F116" s="41" t="s">
        <v>87</v>
      </c>
      <c r="G116" s="39" t="s">
        <v>88</v>
      </c>
      <c r="H116" s="143" t="str">
        <f>IF(COUNTA(D116:G116)=COLUMNS(D116:G116), IFERROR('Technical Sheet'!G9, "-"), "-")</f>
        <v>-</v>
      </c>
      <c r="I116" s="14" t="str">
        <f t="shared" si="5"/>
        <v>OK</v>
      </c>
      <c r="J116" s="150" t="str">
        <f>IF(AND(D116&lt;&gt;"", E116&lt;&gt;"", F116&lt;&gt;"", G116&lt;&gt;""),
    IFERROR(HYPERLINK("https://www.openstreetmap.org/search?lat=" &amp; 'Technical Sheet'!E9 &amp; "&amp;lon=" &amp; 'Technical Sheet'!F9, "OpenStreetMap Link"),
    ""),
"")</f>
        <v/>
      </c>
      <c r="K116" s="62" t="str">
        <f t="shared" si="4"/>
        <v>1741+peachtree+street+n.e.+30309+atlanta+united+states+of+america+</v>
      </c>
    </row>
    <row r="117" spans="3:11" outlineLevel="1" x14ac:dyDescent="0.25">
      <c r="C117" s="155">
        <v>9</v>
      </c>
      <c r="D117" s="39" t="s">
        <v>89</v>
      </c>
      <c r="E117" s="40" t="s">
        <v>90</v>
      </c>
      <c r="F117" s="41" t="s">
        <v>87</v>
      </c>
      <c r="G117" s="39" t="s">
        <v>88</v>
      </c>
      <c r="H117" s="143" t="str">
        <f>IF(COUNTA(D117:G117)=COLUMNS(D117:G117), IFERROR('Technical Sheet'!G10, "-"), "-")</f>
        <v>-</v>
      </c>
      <c r="I117" s="14" t="str">
        <f t="shared" si="5"/>
        <v>OK</v>
      </c>
      <c r="J117" s="150" t="str">
        <f>IF(AND(D117&lt;&gt;"", E117&lt;&gt;"", F117&lt;&gt;"", G117&lt;&gt;""),
    IFERROR(HYPERLINK("https://www.openstreetmap.org/search?lat=" &amp; 'Technical Sheet'!E10 &amp; "&amp;lon=" &amp; 'Technical Sheet'!F10, "OpenStreetMap Link"),
    ""),
"")</f>
        <v/>
      </c>
      <c r="K117" s="62" t="str">
        <f t="shared" si="4"/>
        <v>200+ottley+drive+ne,+suite+400+30324+atlanta+united+states+of+america+</v>
      </c>
    </row>
    <row r="118" spans="3:11" outlineLevel="1" x14ac:dyDescent="0.25">
      <c r="C118" s="155">
        <v>10</v>
      </c>
      <c r="D118" s="39" t="s">
        <v>91</v>
      </c>
      <c r="E118" s="40" t="s">
        <v>92</v>
      </c>
      <c r="F118" s="41" t="s">
        <v>93</v>
      </c>
      <c r="G118" s="39" t="s">
        <v>94</v>
      </c>
      <c r="H118" s="143" t="str">
        <f>IF(COUNTA(D118:G118)=COLUMNS(D118:G118), IFERROR('Technical Sheet'!G11, "-"), "-")</f>
        <v>-</v>
      </c>
      <c r="I118" s="14" t="str">
        <f t="shared" si="5"/>
        <v>OK</v>
      </c>
      <c r="J118" s="150" t="str">
        <f>IF(AND(D118&lt;&gt;"", E118&lt;&gt;"", F118&lt;&gt;"", G118&lt;&gt;""),
    IFERROR(HYPERLINK("https://www.openstreetmap.org/search?lat=" &amp; 'Technical Sheet'!E11 &amp; "&amp;lon=" &amp; 'Technical Sheet'!F11, "OpenStreetMap Link"),
    ""),
"")</f>
        <v/>
      </c>
      <c r="K118" s="62" t="str">
        <f t="shared" si="4"/>
        <v>143+magokjungang-ro,+gangseo-gu+07795+seoul+korea+(the+republic+of)+</v>
      </c>
    </row>
    <row r="119" spans="3:11" outlineLevel="1" x14ac:dyDescent="0.25">
      <c r="C119" s="156">
        <v>11</v>
      </c>
      <c r="D119" s="39"/>
      <c r="E119" s="40"/>
      <c r="F119" s="41"/>
      <c r="G119" s="39"/>
      <c r="H119" s="143" t="str">
        <f>IF(COUNTA(D119:G119)=COLUMNS(D119:G119), IFERROR('Technical Sheet'!G12, "-"), "-")</f>
        <v>-</v>
      </c>
      <c r="I119" s="14" t="str">
        <f t="shared" si="5"/>
        <v/>
      </c>
      <c r="J119" s="150" t="str">
        <f>IF(AND(D119&lt;&gt;"", E119&lt;&gt;"", F119&lt;&gt;"", G119&lt;&gt;""),
    IFERROR(HYPERLINK("https://www.openstreetmap.org/search?lat=" &amp; 'Technical Sheet'!E12 &amp; "&amp;lon=" &amp; 'Technical Sheet'!F12, "OpenStreetMap Link"),
    ""),
"")</f>
        <v/>
      </c>
      <c r="K119" s="62" t="str">
        <f t="shared" si="4"/>
        <v>++++</v>
      </c>
    </row>
    <row r="120" spans="3:11" outlineLevel="1" x14ac:dyDescent="0.25">
      <c r="C120" s="155">
        <v>12</v>
      </c>
      <c r="D120" s="39"/>
      <c r="E120" s="40"/>
      <c r="F120" s="41"/>
      <c r="G120" s="39"/>
      <c r="H120" s="143" t="str">
        <f>IF(COUNTA(D120:G120)=COLUMNS(D120:G120), IFERROR('Technical Sheet'!G13, "-"), "-")</f>
        <v>-</v>
      </c>
      <c r="I120" s="14" t="str">
        <f t="shared" si="5"/>
        <v/>
      </c>
      <c r="J120" s="150" t="str">
        <f>IF(AND(D120&lt;&gt;"", E120&lt;&gt;"", F120&lt;&gt;"", G120&lt;&gt;""),
    IFERROR(HYPERLINK("https://www.openstreetmap.org/search?lat=" &amp; 'Technical Sheet'!E13 &amp; "&amp;lon=" &amp; 'Technical Sheet'!F13, "OpenStreetMap Link"),
    ""),
"")</f>
        <v/>
      </c>
      <c r="K120" s="62" t="str">
        <f t="shared" si="4"/>
        <v>++++</v>
      </c>
    </row>
    <row r="121" spans="3:11" outlineLevel="1" x14ac:dyDescent="0.25">
      <c r="C121" s="155">
        <v>13</v>
      </c>
      <c r="D121" s="39"/>
      <c r="E121" s="40"/>
      <c r="F121" s="41"/>
      <c r="G121" s="39"/>
      <c r="H121" s="143" t="str">
        <f>IF(COUNTA(D121:G121)=COLUMNS(D121:G121), IFERROR('Technical Sheet'!G14, "-"), "-")</f>
        <v>-</v>
      </c>
      <c r="I121" s="14" t="str">
        <f t="shared" si="5"/>
        <v/>
      </c>
      <c r="J121" s="150" t="str">
        <f>IF(AND(D121&lt;&gt;"", E121&lt;&gt;"", F121&lt;&gt;"", G121&lt;&gt;""),
    IFERROR(HYPERLINK("https://www.openstreetmap.org/search?lat=" &amp; 'Technical Sheet'!E14 &amp; "&amp;lon=" &amp; 'Technical Sheet'!F14, "OpenStreetMap Link"),
    ""),
"")</f>
        <v/>
      </c>
      <c r="K121" s="62" t="str">
        <f t="shared" si="4"/>
        <v>++++</v>
      </c>
    </row>
    <row r="122" spans="3:11" outlineLevel="1" x14ac:dyDescent="0.25">
      <c r="C122" s="156">
        <v>14</v>
      </c>
      <c r="D122" s="39"/>
      <c r="E122" s="40"/>
      <c r="F122" s="41"/>
      <c r="G122" s="39"/>
      <c r="H122" s="143" t="str">
        <f>IF(COUNTA(D122:G122)=COLUMNS(D122:G122), IFERROR('Technical Sheet'!G15, "-"), "-")</f>
        <v>-</v>
      </c>
      <c r="I122" s="14" t="str">
        <f t="shared" si="5"/>
        <v/>
      </c>
      <c r="J122" s="150" t="str">
        <f>IF(AND(D122&lt;&gt;"", E122&lt;&gt;"", F122&lt;&gt;"", G122&lt;&gt;""),
    IFERROR(HYPERLINK("https://www.openstreetmap.org/search?lat=" &amp; 'Technical Sheet'!E15 &amp; "&amp;lon=" &amp; 'Technical Sheet'!F15, "OpenStreetMap Link"),
    ""),
"")</f>
        <v/>
      </c>
      <c r="K122" s="62" t="str">
        <f t="shared" si="4"/>
        <v>++++</v>
      </c>
    </row>
    <row r="123" spans="3:11" outlineLevel="1" x14ac:dyDescent="0.25">
      <c r="C123" s="155">
        <v>15</v>
      </c>
      <c r="D123" s="39"/>
      <c r="E123" s="40"/>
      <c r="F123" s="41"/>
      <c r="G123" s="39"/>
      <c r="H123" s="143" t="str">
        <f>IF(COUNTA(D123:G123)=COLUMNS(D123:G123), IFERROR('Technical Sheet'!G16, "-"), "-")</f>
        <v>-</v>
      </c>
      <c r="I123" s="14" t="str">
        <f t="shared" si="5"/>
        <v/>
      </c>
      <c r="J123" s="150" t="str">
        <f>IF(AND(D123&lt;&gt;"", E123&lt;&gt;"", F123&lt;&gt;"", G123&lt;&gt;""),
    IFERROR(HYPERLINK("https://www.openstreetmap.org/search?lat=" &amp; 'Technical Sheet'!E16 &amp; "&amp;lon=" &amp; 'Technical Sheet'!F16, "OpenStreetMap Link"),
    ""),
"")</f>
        <v/>
      </c>
      <c r="K123" s="62" t="str">
        <f t="shared" si="4"/>
        <v>++++</v>
      </c>
    </row>
    <row r="124" spans="3:11" outlineLevel="1" x14ac:dyDescent="0.25">
      <c r="C124" s="155">
        <v>16</v>
      </c>
      <c r="D124" s="39"/>
      <c r="E124" s="40"/>
      <c r="F124" s="41"/>
      <c r="G124" s="39"/>
      <c r="H124" s="143" t="str">
        <f>IF(COUNTA(D124:G124)=COLUMNS(D124:G124), IFERROR('Technical Sheet'!G17, "-"), "-")</f>
        <v>-</v>
      </c>
      <c r="I124" s="14" t="str">
        <f t="shared" si="5"/>
        <v/>
      </c>
      <c r="J124" s="150" t="str">
        <f>IF(AND(D124&lt;&gt;"", E124&lt;&gt;"", F124&lt;&gt;"", G124&lt;&gt;""),
    IFERROR(HYPERLINK("https://www.openstreetmap.org/search?lat=" &amp; 'Technical Sheet'!E17 &amp; "&amp;lon=" &amp; 'Technical Sheet'!F17, "OpenStreetMap Link"),
    ""),
"")</f>
        <v/>
      </c>
      <c r="K124" s="62" t="str">
        <f t="shared" si="4"/>
        <v>++++</v>
      </c>
    </row>
    <row r="125" spans="3:11" outlineLevel="1" x14ac:dyDescent="0.25">
      <c r="C125" s="156">
        <v>17</v>
      </c>
      <c r="D125" s="39"/>
      <c r="E125" s="40"/>
      <c r="F125" s="41"/>
      <c r="G125" s="39"/>
      <c r="H125" s="143" t="str">
        <f>IF(COUNTA(D125:G125)=COLUMNS(D125:G125), IFERROR('Technical Sheet'!G18, "-"), "-")</f>
        <v>-</v>
      </c>
      <c r="I125" s="14" t="str">
        <f t="shared" si="5"/>
        <v/>
      </c>
      <c r="J125" s="150" t="str">
        <f>IF(AND(D125&lt;&gt;"", E125&lt;&gt;"", F125&lt;&gt;"", G125&lt;&gt;""),
    IFERROR(HYPERLINK("https://www.openstreetmap.org/search?lat=" &amp; 'Technical Sheet'!E18 &amp; "&amp;lon=" &amp; 'Technical Sheet'!F18, "OpenStreetMap Link"),
    ""),
"")</f>
        <v/>
      </c>
      <c r="K125" s="62" t="str">
        <f t="shared" si="4"/>
        <v>++++</v>
      </c>
    </row>
    <row r="126" spans="3:11" outlineLevel="1" x14ac:dyDescent="0.25">
      <c r="C126" s="155">
        <v>18</v>
      </c>
      <c r="D126" s="39"/>
      <c r="E126" s="40"/>
      <c r="F126" s="41"/>
      <c r="G126" s="39"/>
      <c r="H126" s="143" t="str">
        <f>IF(COUNTA(D126:G126)=COLUMNS(D126:G126), IFERROR('Technical Sheet'!G19, "-"), "-")</f>
        <v>-</v>
      </c>
      <c r="I126" s="14" t="str">
        <f t="shared" si="5"/>
        <v/>
      </c>
      <c r="J126" s="150" t="str">
        <f>IF(AND(D126&lt;&gt;"", E126&lt;&gt;"", F126&lt;&gt;"", G126&lt;&gt;""),
    IFERROR(HYPERLINK("https://www.openstreetmap.org/search?lat=" &amp; 'Technical Sheet'!E19 &amp; "&amp;lon=" &amp; 'Technical Sheet'!F19, "OpenStreetMap Link"),
    ""),
"")</f>
        <v/>
      </c>
      <c r="K126" s="62" t="str">
        <f t="shared" si="4"/>
        <v>++++</v>
      </c>
    </row>
    <row r="127" spans="3:11" outlineLevel="1" x14ac:dyDescent="0.25">
      <c r="C127" s="155">
        <v>19</v>
      </c>
      <c r="D127" s="39"/>
      <c r="E127" s="40"/>
      <c r="F127" s="41"/>
      <c r="G127" s="39"/>
      <c r="H127" s="143" t="str">
        <f>IF(COUNTA(D127:G127)=COLUMNS(D127:G127), IFERROR('Technical Sheet'!G20, "-"), "-")</f>
        <v>-</v>
      </c>
      <c r="I127" s="14" t="str">
        <f t="shared" si="5"/>
        <v/>
      </c>
      <c r="J127" s="150" t="str">
        <f>IF(AND(D127&lt;&gt;"", E127&lt;&gt;"", F127&lt;&gt;"", G127&lt;&gt;""),
    IFERROR(HYPERLINK("https://www.openstreetmap.org/search?lat=" &amp; 'Technical Sheet'!E20 &amp; "&amp;lon=" &amp; 'Technical Sheet'!F20, "OpenStreetMap Link"),
    ""),
"")</f>
        <v/>
      </c>
      <c r="K127" s="62" t="str">
        <f t="shared" si="4"/>
        <v>++++</v>
      </c>
    </row>
    <row r="128" spans="3:11" outlineLevel="1" x14ac:dyDescent="0.25">
      <c r="C128" s="156">
        <v>20</v>
      </c>
      <c r="D128" s="39"/>
      <c r="E128" s="40"/>
      <c r="F128" s="41"/>
      <c r="G128" s="39"/>
      <c r="H128" s="143" t="str">
        <f>IF(COUNTA(D128:G128)=COLUMNS(D128:G128), IFERROR('Technical Sheet'!G21, "-"), "-")</f>
        <v>-</v>
      </c>
      <c r="I128" s="14" t="str">
        <f t="shared" si="5"/>
        <v/>
      </c>
      <c r="J128" s="150" t="str">
        <f>IF(AND(D128&lt;&gt;"", E128&lt;&gt;"", F128&lt;&gt;"", G128&lt;&gt;""),
    IFERROR(HYPERLINK("https://www.openstreetmap.org/search?lat=" &amp; 'Technical Sheet'!E21 &amp; "&amp;lon=" &amp; 'Technical Sheet'!F21, "OpenStreetMap Link"),
    ""),
"")</f>
        <v/>
      </c>
      <c r="K128" s="62" t="str">
        <f t="shared" si="4"/>
        <v>++++</v>
      </c>
    </row>
    <row r="129" spans="2:17" outlineLevel="1" x14ac:dyDescent="0.25">
      <c r="C129" s="155">
        <v>21</v>
      </c>
      <c r="D129" s="39"/>
      <c r="E129" s="40"/>
      <c r="F129" s="41"/>
      <c r="G129" s="39"/>
      <c r="H129" s="143" t="str">
        <f>IF(COUNTA(D129:G129)=COLUMNS(D129:G129), IFERROR('Technical Sheet'!G22, "-"), "-")</f>
        <v>-</v>
      </c>
      <c r="I129" s="14" t="str">
        <f t="shared" si="5"/>
        <v/>
      </c>
      <c r="J129" s="150" t="str">
        <f>IF(AND(D129&lt;&gt;"", E129&lt;&gt;"", F129&lt;&gt;"", G129&lt;&gt;""),
    IFERROR(HYPERLINK("https://www.openstreetmap.org/search?lat=" &amp; 'Technical Sheet'!E22 &amp; "&amp;lon=" &amp; 'Technical Sheet'!F22, "OpenStreetMap Link"),
    ""),
"")</f>
        <v/>
      </c>
      <c r="K129" s="62" t="str">
        <f t="shared" si="4"/>
        <v>++++</v>
      </c>
    </row>
    <row r="130" spans="2:17" outlineLevel="1" x14ac:dyDescent="0.25">
      <c r="C130" s="155">
        <v>22</v>
      </c>
      <c r="D130" s="39"/>
      <c r="E130" s="40"/>
      <c r="F130" s="41"/>
      <c r="G130" s="39"/>
      <c r="H130" s="143" t="str">
        <f>IF(COUNTA(D130:G130)=COLUMNS(D130:G130), IFERROR('Technical Sheet'!G23, "-"), "-")</f>
        <v>-</v>
      </c>
      <c r="I130" s="14" t="str">
        <f t="shared" si="5"/>
        <v/>
      </c>
      <c r="J130" s="150" t="str">
        <f>IF(AND(D130&lt;&gt;"", E130&lt;&gt;"", F130&lt;&gt;"", G130&lt;&gt;""),
    IFERROR(HYPERLINK("https://www.openstreetmap.org/search?lat=" &amp; 'Technical Sheet'!E23 &amp; "&amp;lon=" &amp; 'Technical Sheet'!F23, "OpenStreetMap Link"),
    ""),
"")</f>
        <v/>
      </c>
      <c r="K130" s="62" t="str">
        <f t="shared" si="4"/>
        <v>++++</v>
      </c>
    </row>
    <row r="131" spans="2:17" outlineLevel="1" x14ac:dyDescent="0.25">
      <c r="C131" s="156">
        <v>23</v>
      </c>
      <c r="D131" s="39"/>
      <c r="E131" s="40"/>
      <c r="F131" s="41"/>
      <c r="G131" s="39"/>
      <c r="H131" s="143" t="str">
        <f>IF(COUNTA(D131:G131)=COLUMNS(D131:G131), IFERROR('Technical Sheet'!G24, "-"), "-")</f>
        <v>-</v>
      </c>
      <c r="I131" s="14" t="str">
        <f t="shared" si="5"/>
        <v/>
      </c>
      <c r="J131" s="150" t="str">
        <f>IF(AND(D131&lt;&gt;"", E131&lt;&gt;"", F131&lt;&gt;"", G131&lt;&gt;""),
    IFERROR(HYPERLINK("https://www.openstreetmap.org/search?lat=" &amp; 'Technical Sheet'!E24 &amp; "&amp;lon=" &amp; 'Technical Sheet'!F24, "OpenStreetMap Link"),
    ""),
"")</f>
        <v/>
      </c>
      <c r="K131" s="62" t="str">
        <f t="shared" si="4"/>
        <v>++++</v>
      </c>
    </row>
    <row r="132" spans="2:17" outlineLevel="1" x14ac:dyDescent="0.25">
      <c r="C132" s="287">
        <v>24</v>
      </c>
      <c r="D132" s="48"/>
      <c r="E132" s="49"/>
      <c r="F132" s="50"/>
      <c r="G132" s="48"/>
      <c r="H132" s="143" t="str">
        <f>IF(COUNTA(D132:G132)=COLUMNS(D132:G132), IFERROR('Technical Sheet'!G25, "-"), "-")</f>
        <v>-</v>
      </c>
      <c r="I132" s="14" t="str">
        <f t="shared" si="5"/>
        <v/>
      </c>
      <c r="J132" s="150" t="str">
        <f>IF(AND(D132&lt;&gt;"", E132&lt;&gt;"", F132&lt;&gt;"", G132&lt;&gt;""),
    IFERROR(HYPERLINK("https://www.openstreetmap.org/search?lat=" &amp; 'Technical Sheet'!E25 &amp; "&amp;lon=" &amp; 'Technical Sheet'!F25, "OpenStreetMap Link"),
    ""),
"")</f>
        <v/>
      </c>
      <c r="K132" s="62" t="str">
        <f t="shared" si="4"/>
        <v>++++</v>
      </c>
    </row>
    <row r="133" spans="2:17" ht="15.75" outlineLevel="1" thickBot="1" x14ac:dyDescent="0.3">
      <c r="C133" s="157">
        <v>25</v>
      </c>
      <c r="D133" s="45"/>
      <c r="E133" s="46"/>
      <c r="F133" s="47"/>
      <c r="G133" s="45"/>
      <c r="H133" s="144" t="str">
        <f>IF(COUNTA(D133:G133)=COLUMNS(D133:G133), IFERROR('Technical Sheet'!G26, "-"), "-")</f>
        <v>-</v>
      </c>
      <c r="I133" s="14" t="str">
        <f t="shared" si="5"/>
        <v/>
      </c>
      <c r="J133" s="150" t="str">
        <f>IF(AND(D133&lt;&gt;"", E133&lt;&gt;"", F133&lt;&gt;"", G133&lt;&gt;""),
    IFERROR(HYPERLINK("https://www.openstreetmap.org/search?lat=" &amp; 'Technical Sheet'!E26 &amp; "&amp;lon=" &amp; 'Technical Sheet'!F26, "OpenStreetMap Link"),
    ""),
"")</f>
        <v/>
      </c>
      <c r="K133" s="62" t="str">
        <f t="shared" si="4"/>
        <v>++++</v>
      </c>
    </row>
    <row r="134" spans="2:17" ht="15" customHeight="1" thickBot="1" x14ac:dyDescent="0.3"/>
    <row r="135" spans="2:17" ht="38.1" customHeight="1" x14ac:dyDescent="0.25">
      <c r="C135" s="571" t="str">
        <f xml:space="preserve"> template_label_b2_practices_policies_and_future_initiatives_for_transitioning_towards_a_more_sustainable_economy &amp; " " &amp; template_label_from &amp; " " &amp; template_starting_date_display &amp; " " &amp; template_label_to &amp; " " &amp; template_ending_date_display &amp; " " &amp; template_label_if_applicable</f>
        <v>B2 – Practices policies and future initiatives for transitioning towards a more sustainable economy from 2025-01-01 to 2025-12-31 [If applicable]</v>
      </c>
      <c r="D135" s="572"/>
      <c r="E135" s="572"/>
      <c r="F135" s="572"/>
      <c r="G135" s="572"/>
      <c r="H135" s="572"/>
      <c r="I135" s="572"/>
      <c r="J135" s="572"/>
      <c r="K135" s="572"/>
      <c r="L135" s="572"/>
      <c r="M135" s="572"/>
      <c r="N135" s="572"/>
      <c r="O135" s="573"/>
    </row>
    <row r="136" spans="2:17" s="7" customFormat="1" x14ac:dyDescent="0.25">
      <c r="C136" s="353" t="s">
        <v>95</v>
      </c>
      <c r="D136" s="354"/>
      <c r="E136" s="354"/>
      <c r="F136" s="354"/>
      <c r="G136" s="354"/>
      <c r="H136" s="354"/>
      <c r="I136" s="354"/>
      <c r="J136" s="354"/>
      <c r="K136" s="354"/>
      <c r="L136" s="354"/>
      <c r="M136" s="354"/>
      <c r="N136" s="354"/>
      <c r="O136" s="355"/>
      <c r="P136"/>
      <c r="Q136"/>
    </row>
    <row r="137" spans="2:17" x14ac:dyDescent="0.25">
      <c r="C137" s="356" t="s">
        <v>96</v>
      </c>
      <c r="D137" s="357"/>
      <c r="E137" s="357"/>
      <c r="F137" s="357"/>
      <c r="G137" s="357"/>
      <c r="H137" s="357"/>
      <c r="I137" s="357"/>
      <c r="J137" s="357"/>
      <c r="K137" s="357"/>
      <c r="L137" s="357"/>
      <c r="M137" s="357"/>
      <c r="N137" s="357"/>
      <c r="O137" s="358"/>
    </row>
    <row r="138" spans="2:17" x14ac:dyDescent="0.25">
      <c r="C138" s="634" t="str">
        <f>template_label_has_the_undertaking_put_in_place_specific_practices_policies_and_or_future</f>
        <v>Has the undertaking put in place specific practices policies and or future initiatives for transitioning towards a more sustainable economy?</v>
      </c>
      <c r="D138" s="534" t="str">
        <f>template_label_sustainability_issues_addressed_by_a_practice_policy_and_or_future_initiatives_put_in_place</f>
        <v>Sustainability issues addressed by a practice policy and or future initiatives that the undertaking has put in place</v>
      </c>
      <c r="E138" s="534"/>
      <c r="F138" s="534"/>
      <c r="G138" s="534"/>
      <c r="H138" s="534"/>
      <c r="I138" s="534"/>
      <c r="J138" s="534"/>
      <c r="K138" s="534"/>
      <c r="L138" s="534"/>
      <c r="M138" s="534"/>
      <c r="N138" s="535" t="str">
        <f>template_label_undertaking_has_a_practice_policy_and_or_future_initiative_that_is_publicly_available</f>
        <v>Undertaking has a practice policy and or future initiative that is publicly available</v>
      </c>
      <c r="O138" s="537" t="str">
        <f>template_label_undertaking_has_set_a_target_which_is_related_to_a_policy</f>
        <v>Undertaking has set a target which is related to a policy</v>
      </c>
    </row>
    <row r="139" spans="2:17" ht="41.45" customHeight="1" x14ac:dyDescent="0.25">
      <c r="C139" s="635"/>
      <c r="D139" s="51" t="str">
        <f>template_label_climate_change</f>
        <v>Climate change</v>
      </c>
      <c r="E139" s="51" t="str">
        <f>template_label_pollution</f>
        <v>Pollution</v>
      </c>
      <c r="F139" s="51" t="str">
        <f>template_label_water_and_marine_resources</f>
        <v>Water and marine resources</v>
      </c>
      <c r="G139" s="51" t="str">
        <f>template_label_biodiversity_and_ecosystems</f>
        <v>Biodiversity and ecosystems</v>
      </c>
      <c r="H139" s="51" t="str">
        <f>template_label_circular_economy</f>
        <v>Circular economy</v>
      </c>
      <c r="I139" s="51" t="str">
        <f>template_label_own_workforce</f>
        <v>Own workforce</v>
      </c>
      <c r="J139" s="51" t="str">
        <f>template_label_workers_in_the_value_chain</f>
        <v>Workers in the value chain</v>
      </c>
      <c r="K139" s="51" t="str">
        <f>template_label_affected_communities</f>
        <v>Affected communities</v>
      </c>
      <c r="L139" s="51" t="str">
        <f>template_label_consumers_and_endusers_validation</f>
        <v>Consumers and end-users</v>
      </c>
      <c r="M139" s="51" t="str">
        <f>template_label_business_conduct</f>
        <v>Business conduct</v>
      </c>
      <c r="N139" s="536"/>
      <c r="O139" s="538"/>
    </row>
    <row r="140" spans="2:17" ht="15.75" thickBot="1" x14ac:dyDescent="0.3">
      <c r="C140" s="142" t="b">
        <v>1</v>
      </c>
      <c r="D140" s="141" t="b">
        <v>1</v>
      </c>
      <c r="E140" s="139" t="b">
        <v>0</v>
      </c>
      <c r="F140" s="139" t="b">
        <v>0</v>
      </c>
      <c r="G140" s="139" t="b">
        <v>0</v>
      </c>
      <c r="H140" s="139" t="b">
        <v>1</v>
      </c>
      <c r="I140" s="139" t="b">
        <v>1</v>
      </c>
      <c r="J140" s="139" t="b">
        <v>1</v>
      </c>
      <c r="K140" s="139" t="b">
        <v>0</v>
      </c>
      <c r="L140" s="139" t="b">
        <v>1</v>
      </c>
      <c r="M140" s="139" t="b">
        <v>1</v>
      </c>
      <c r="N140" s="139" t="b">
        <v>1</v>
      </c>
      <c r="O140" s="140" t="b">
        <v>1</v>
      </c>
      <c r="P140" s="13" t="str">
        <f>IF(C140=TRUE, IF(COUNTIF(D140:M140, TRUE)&gt;0, template_label_ok, template_label_missing_value), "")</f>
        <v>OK</v>
      </c>
    </row>
    <row r="141" spans="2:17" ht="57.6" customHeight="1" thickBot="1" x14ac:dyDescent="0.3">
      <c r="F141"/>
    </row>
    <row r="142" spans="2:17" x14ac:dyDescent="0.25">
      <c r="C142" s="627" t="str">
        <f xml:space="preserve"> template_label_b2_cooperative_specific_disclosures &amp; " " &amp; template_label_from &amp; " " &amp; template_starting_date_display &amp; " " &amp; template_label_to &amp; " " &amp; template_ending_date_display &amp; " " &amp; template_label_if_applicable</f>
        <v>B2 - Cooperative specific disclosures from 2025-01-01 to 2025-12-31 [If applicable]</v>
      </c>
      <c r="D142" s="628"/>
      <c r="F142"/>
    </row>
    <row r="143" spans="2:17" x14ac:dyDescent="0.25">
      <c r="C143" s="632">
        <v>15</v>
      </c>
      <c r="D143" s="633"/>
      <c r="F143"/>
    </row>
    <row r="144" spans="2:17" ht="30.6" customHeight="1" x14ac:dyDescent="0.25">
      <c r="B144" s="175"/>
      <c r="C144" s="1" t="str">
        <f>template_label_effective_participation_of_workers_users_or_other_interested_parties_or_communities_in_governance</f>
        <v>Effective participation of workers users or other interested parties or communities in governance</v>
      </c>
      <c r="D144" s="218"/>
      <c r="E144" s="13" t="str">
        <f>IF(AND(D144&lt;&gt;"", UndertakingsLegalForm="cooperative"), template_label_ok, "")</f>
        <v/>
      </c>
      <c r="F144"/>
    </row>
    <row r="145" spans="1:8" ht="57" customHeight="1" x14ac:dyDescent="0.25">
      <c r="B145" s="175"/>
      <c r="C145" s="303" t="str">
        <f>template_label_financial_investment_in_the_capital_or_assets_of_social_economy_entities</f>
        <v>Financial investment in the capital or assets of social economy entities referred to in the Council Recommendation of 29 September 2023 (excluding donations and contributions)</v>
      </c>
      <c r="D145" s="219"/>
      <c r="E145" s="13" t="str">
        <f>IF(AND(D145&lt;&gt;"", UndertakingsLegalForm="cooperative"), template_label_ok, "")</f>
        <v/>
      </c>
      <c r="F145"/>
    </row>
    <row r="146" spans="1:8" ht="47.45" customHeight="1" thickBot="1" x14ac:dyDescent="0.3">
      <c r="B146" s="175"/>
      <c r="C146" s="79" t="str">
        <f>template_label_limits_to_the_distribution_of_profits</f>
        <v>Any limits to the distribution of profits connected to the mutualistic nature or to the nature of the activities consisting in services of general economic interest (SGEI)</v>
      </c>
      <c r="D146" s="220"/>
      <c r="E146" s="13" t="str">
        <f>IF(AND(D146&lt;&gt;"", UndertakingsLegalForm="cooperative"), template_label_ok, "")</f>
        <v/>
      </c>
      <c r="F146"/>
    </row>
    <row r="147" spans="1:8" ht="50.1" customHeight="1" thickBot="1" x14ac:dyDescent="0.3">
      <c r="C147" s="85"/>
      <c r="F147"/>
    </row>
    <row r="148" spans="1:8" x14ac:dyDescent="0.25">
      <c r="C148" s="599" t="str">
        <f>template_label_c2_description_of_practices_policies_and_future_initiatives_for_transitioning_towards_a_more_sustainable_economy&amp; " " &amp; template_label_from &amp; " " &amp; template_starting_date_display &amp; " " &amp; template_label_to &amp; " " &amp; template_ending_date_display &amp; " " &amp; template_label_if_applicable_linked_to_b2</f>
        <v>C2 – Description of practices policies and future initiatives for transitioning towards a more sustainable economy from 2025-01-01 to 2025-12-31 [If applicable linked with B2]</v>
      </c>
      <c r="D148" s="600"/>
      <c r="E148" s="600"/>
      <c r="F148" s="600"/>
      <c r="G148" s="601"/>
    </row>
    <row r="149" spans="1:8" ht="38.1" customHeight="1" x14ac:dyDescent="0.25">
      <c r="A149" s="319">
        <v>48</v>
      </c>
      <c r="B149" s="322">
        <v>149</v>
      </c>
      <c r="C149" s="610" t="str">
        <f>template_label_description_of_a_practice_policy_and_or_future_initiative_towards_a_more_sustainable_future</f>
        <v>Description of a practice policy and or future initiative towards a more sustainable future (In case the practice  policy  future initiative covers suppliers or clients the undertaking shall mention it)</v>
      </c>
      <c r="D149" s="611"/>
      <c r="E149" s="645" t="s">
        <v>7496</v>
      </c>
      <c r="F149" s="646"/>
      <c r="G149" s="647"/>
      <c r="H149" s="13" t="str">
        <f>IF(AND(BasisForPreparation="Option B (Basic Module and Comprehensive Module)", C140=TRUE, DescriptionOfPracticesPoliciesAndOrFutureInitiatives=""), template_label_missing_value,
IF(AND(BasisForPreparation="Option B (Basic Module and Comprehensive Module)", C140=TRUE, DescriptionOfPracticesPoliciesAndOrFutureInitiatives&lt;&gt;""), template_label_ok,
IF(AND(BasisForPreparation="Option A (Basic Module only)", E149&lt;&gt;""), template_label_ok, "")))</f>
        <v>OK</v>
      </c>
    </row>
    <row r="150" spans="1:8" x14ac:dyDescent="0.25">
      <c r="A150" s="174" t="s">
        <v>11</v>
      </c>
      <c r="B150" s="322">
        <v>149</v>
      </c>
      <c r="C150" s="582" t="str">
        <f>template_label_description_of_target_related_to_a_policy</f>
        <v>Description of target related to a policy</v>
      </c>
      <c r="D150" s="583"/>
      <c r="E150" s="645" t="s">
        <v>97</v>
      </c>
      <c r="F150" s="646"/>
      <c r="G150" s="647"/>
      <c r="H150" s="13" t="str">
        <f>IF(AND(BasisForPreparation="Option B (Basic Module and Comprehensive Module)", C140=TRUE, O140=TRUE, E150=""), template_label_missing_value,
IF(AND(BasisForPreparation="Option B (Basic Module and Comprehensive Module)", C140=TRUE, O140=TRUE, E150&lt;&gt;""), template_label_ok,
IF(AND(BasisForPreparation="Option A (Basic Module only)", E150&lt;&gt;""), template_label_ok, "")))</f>
        <v>OK</v>
      </c>
    </row>
    <row r="151" spans="1:8" ht="15.75" thickBot="1" x14ac:dyDescent="0.3">
      <c r="A151" s="319">
        <v>49</v>
      </c>
      <c r="B151" s="322">
        <v>149</v>
      </c>
      <c r="C151" s="560" t="str">
        <f>template_label_most_senior_level_accountable_for_implementing_practices_policies_and_or_future_initiatives</f>
        <v>Most senior level within its employees that is accountable for implementing the policies when this has been determined by the undertaking</v>
      </c>
      <c r="D151" s="561"/>
      <c r="E151" s="648" t="s">
        <v>98</v>
      </c>
      <c r="F151" s="649"/>
      <c r="G151" s="650"/>
      <c r="H151" s="13" t="str">
        <f>IF(AND(BasisForPreparation="Option B (Basic Module and Comprehensive Module)", C140=TRUE, MostSeniorLevelAccountableForImplementationOfPolicies=""), template_label_missing_value,
IF(AND(BasisForPreparation="Option B (Basic Module and Comprehensive Module)", C140=TRUE, MostSeniorLevelAccountableForImplementationOfPolicies&lt;&gt;""), template_label_ok,
IF(AND(BasisForPreparation="Option A (Basic Module only)", E151&lt;&gt;""), template_label_ok, "")))</f>
        <v>OK</v>
      </c>
    </row>
    <row r="152" spans="1:8" ht="14.85" customHeight="1" x14ac:dyDescent="0.25">
      <c r="F152"/>
    </row>
    <row r="153" spans="1:8" ht="14.85" customHeight="1" thickBot="1" x14ac:dyDescent="0.3">
      <c r="F153"/>
    </row>
    <row r="154" spans="1:8" ht="14.85" customHeight="1" x14ac:dyDescent="0.25">
      <c r="C154" s="599" t="str">
        <f xml:space="preserve"> template_label_c1_strategy_business_model_and_sustainability_related_initiatives &amp; " " &amp; template_label_from &amp; " " &amp; template_starting_date_display &amp; " " &amp; template_label_to &amp; " " &amp; template_ending_date_display &amp; " " &amp;  template_label_always_to_be_reported</f>
        <v>C1 – Strategy: Business Model and Sustainability – Related Initiatives from 2025-01-01 to 2025-12-31 [Always to be reported]</v>
      </c>
      <c r="D154" s="600"/>
      <c r="E154" s="600"/>
      <c r="F154" s="600"/>
      <c r="G154" s="601"/>
    </row>
    <row r="155" spans="1:8" x14ac:dyDescent="0.25">
      <c r="A155" s="317" t="s">
        <v>99</v>
      </c>
      <c r="B155" s="173" t="s">
        <v>11</v>
      </c>
      <c r="C155" s="564" t="str">
        <f>template_label_description_of_significant_groups_of_products_and_or_services_offered</f>
        <v>Description of significant groups of products and or services offered</v>
      </c>
      <c r="D155" s="565"/>
      <c r="E155" s="551" t="s">
        <v>100</v>
      </c>
      <c r="F155" s="552"/>
      <c r="G155" s="553"/>
      <c r="H155" s="13" t="str">
        <f>IF(AND($E$32="Option B (Basic Module and Comprehensive Module)", E155=""), template_label_missing_value,
   IF(AND($E$32="Option A (Basic Module only)", E155&lt;&gt;""), template_label_ok,
   IF(AND($E$32="Option B (Basic Module and Comprehensive Module)", E155&lt;&gt;""), template_label_ok, "")))</f>
        <v>OK</v>
      </c>
    </row>
    <row r="156" spans="1:8" x14ac:dyDescent="0.25">
      <c r="A156" s="317" t="s">
        <v>101</v>
      </c>
      <c r="B156" s="173" t="s">
        <v>11</v>
      </c>
      <c r="C156" s="566" t="str">
        <f>template_label_description_of_significant_market_the_undertaking_operates_in</f>
        <v>Description of significant market(s) the undertaking operates in (e.g. B2B, wholesale, retail, countries)</v>
      </c>
      <c r="D156" s="567"/>
      <c r="E156" s="554" t="s">
        <v>102</v>
      </c>
      <c r="F156" s="554"/>
      <c r="G156" s="555"/>
      <c r="H156" s="13" t="str">
        <f>IF(AND($E$32="Option B (Basic Module and Comprehensive Module)", E156=""), template_label_missing_value,
   IF(AND($E$32="Option A (Basic Module only)", E156&lt;&gt;""), template_label_ok,
   IF(AND($E$32="Option B (Basic Module and Comprehensive Module)", E156&lt;&gt;""), template_label_ok, "")))</f>
        <v>OK</v>
      </c>
    </row>
    <row r="157" spans="1:8" ht="15.75" thickBot="1" x14ac:dyDescent="0.3">
      <c r="A157" s="317" t="s">
        <v>103</v>
      </c>
      <c r="B157" s="320">
        <v>148</v>
      </c>
      <c r="C157" s="562" t="str">
        <f>template_label_description_of_main_business_relationships</f>
        <v>Description of main business relationships (such as key suppliers, customers, distribution channels)</v>
      </c>
      <c r="D157" s="563"/>
      <c r="E157" s="556" t="s">
        <v>104</v>
      </c>
      <c r="F157" s="556"/>
      <c r="G157" s="557"/>
      <c r="H157" s="13" t="str">
        <f>IF(AND($E$32="Option B (Basic Module and Comprehensive Module)", E157=""), template_label_missing_value,
   IF(AND($E$32="Option A (Basic Module only)", E157&lt;&gt;""), template_label_ok,
   IF(AND($E$32="Option B (Basic Module and Comprehensive Module)", E157&lt;&gt;""), template_label_ok, "")))</f>
        <v>OK</v>
      </c>
    </row>
    <row r="158" spans="1:8" ht="27" customHeight="1" thickBot="1" x14ac:dyDescent="0.3">
      <c r="F158"/>
    </row>
    <row r="159" spans="1:8" ht="14.45" customHeight="1" x14ac:dyDescent="0.25">
      <c r="C159" s="599" t="str">
        <f xml:space="preserve"> template_label_c1_strategy_business_model_and_sustainability_related_initiatives &amp; " " &amp; template_label_from &amp; " " &amp; template_starting_date_display &amp; " " &amp; template_label_to &amp; " " &amp; template_ending_date_display &amp; " " &amp; template_label_if_applicable</f>
        <v>C1 – Strategy: Business Model and Sustainability – Related Initiatives from 2025-01-01 to 2025-12-31 [If applicable]</v>
      </c>
      <c r="D159" s="600"/>
      <c r="E159" s="600"/>
      <c r="F159" s="600"/>
      <c r="G159" s="601"/>
    </row>
    <row r="160" spans="1:8" x14ac:dyDescent="0.25">
      <c r="C160" s="641" t="str">
        <f>template_label_has_the_strategy_key_elements_that_relate_to_or_affect_sustainability_issues</f>
        <v>Has the strategy key elements that relate to or affect sustainability issues?</v>
      </c>
      <c r="D160" s="642"/>
      <c r="E160" s="643" t="b">
        <v>1</v>
      </c>
      <c r="F160" s="643"/>
      <c r="G160" s="644"/>
    </row>
    <row r="161" spans="1:15" ht="15.75" thickBot="1" x14ac:dyDescent="0.3">
      <c r="A161" s="317" t="s">
        <v>105</v>
      </c>
      <c r="B161" s="173" t="s">
        <v>11</v>
      </c>
      <c r="C161" s="560" t="str">
        <f>template_label_description_of_those_key_elements_in_the_strategy_that_relate_or_affect_sustainability_issues</f>
        <v>Description of those key elements in the strategy that relate or affect sustainability issues</v>
      </c>
      <c r="D161" s="561"/>
      <c r="E161" s="558" t="s">
        <v>106</v>
      </c>
      <c r="F161" s="558"/>
      <c r="G161" s="559"/>
      <c r="H161" s="13" t="str">
        <f>IF(AND($E$32="Option B (Basic Module and Comprehensive Module)", E161="", E160=TRUE), template_label_missing_value,
   IF(AND($E$32="Option A (Basic Module only)", E161&lt;&gt;"", E160=TRUE), template_label_ok,
   IF(AND($E$32="Option B (Basic Module and Comprehensive Module)", E161&lt;&gt;"", E160=TRUE), template_label_ok, "")))</f>
        <v>OK</v>
      </c>
    </row>
    <row r="162" spans="1:15" ht="15.75" thickBot="1" x14ac:dyDescent="0.3"/>
    <row r="163" spans="1:15" ht="14.85" customHeight="1" x14ac:dyDescent="0.25">
      <c r="C163" s="494" t="str">
        <f xml:space="preserve"> template_label_disclosure_of_any_other_general_and_or_entity_specific_information_on_the_reporting_period &amp; " " &amp; template_label_from &amp; " " &amp; template_starting_date_display &amp; " " &amp; template_label_to &amp; " " &amp; template_ending_date_display &amp; " " &amp; template_label_may</f>
        <v>Disclosure of any other general and or entity specific information on the reporting period from 2025-01-01 to 2025-12-31 [May (optional)]</v>
      </c>
      <c r="D163" s="495"/>
      <c r="E163" s="495"/>
      <c r="F163" s="495"/>
      <c r="G163" s="495"/>
      <c r="H163" s="496"/>
      <c r="I163" s="7"/>
      <c r="J163" s="7"/>
      <c r="K163" s="7"/>
      <c r="L163" s="7"/>
      <c r="M163" s="7"/>
      <c r="N163" s="7"/>
      <c r="O163" s="7"/>
    </row>
    <row r="164" spans="1:15" ht="14.85" customHeight="1" x14ac:dyDescent="0.25">
      <c r="B164" s="175"/>
      <c r="C164" s="498">
        <v>10</v>
      </c>
      <c r="D164" s="498"/>
      <c r="E164" s="498"/>
      <c r="F164" s="498"/>
      <c r="G164" s="498"/>
      <c r="H164" s="499"/>
      <c r="I164" s="7"/>
      <c r="J164" s="7"/>
      <c r="K164" s="7"/>
      <c r="L164" s="7"/>
      <c r="M164" s="7"/>
      <c r="N164" s="7"/>
      <c r="O164" s="7"/>
    </row>
    <row r="165" spans="1:15" ht="15.75" thickBot="1" x14ac:dyDescent="0.3">
      <c r="C165" s="500"/>
      <c r="D165" s="501"/>
      <c r="E165" s="501"/>
      <c r="F165" s="501"/>
      <c r="G165" s="501"/>
      <c r="H165" s="501"/>
      <c r="I165" s="53" t="str">
        <f>IF(C165&lt;&gt;"", template_label_ok, "")</f>
        <v/>
      </c>
    </row>
  </sheetData>
  <sheetProtection algorithmName="SHA-512" hashValue="+YG7t7DerdBhRNmQhyUwCCbW8j1tq0P5cN0yiRFbPjD4+8Kpb5ZQfict75w0Dsw/hYyaDCSUeEEMPdlXv4z1/w==" saltValue="3dCrQwOSmFhDogVxN81rng==" spinCount="100000" sheet="1" objects="1" scenarios="1" selectLockedCells="1" selectUnlockedCells="1"/>
  <mergeCells count="85">
    <mergeCell ref="C160:D160"/>
    <mergeCell ref="E160:G160"/>
    <mergeCell ref="C159:G159"/>
    <mergeCell ref="C151:D151"/>
    <mergeCell ref="E149:G149"/>
    <mergeCell ref="E151:G151"/>
    <mergeCell ref="E150:G150"/>
    <mergeCell ref="C149:D149"/>
    <mergeCell ref="C150:D150"/>
    <mergeCell ref="C154:G154"/>
    <mergeCell ref="C142:D142"/>
    <mergeCell ref="C96:H96"/>
    <mergeCell ref="C98:H98"/>
    <mergeCell ref="C137:O137"/>
    <mergeCell ref="C143:D143"/>
    <mergeCell ref="C138:C139"/>
    <mergeCell ref="C99:D99"/>
    <mergeCell ref="E99:H99"/>
    <mergeCell ref="C104:H104"/>
    <mergeCell ref="C103:H103"/>
    <mergeCell ref="C102:H102"/>
    <mergeCell ref="C148:G148"/>
    <mergeCell ref="C2:E2"/>
    <mergeCell ref="C100:D100"/>
    <mergeCell ref="C16:E16"/>
    <mergeCell ref="C32:D32"/>
    <mergeCell ref="C18:D18"/>
    <mergeCell ref="C61:D61"/>
    <mergeCell ref="C62:D62"/>
    <mergeCell ref="C17:E17"/>
    <mergeCell ref="C42:D42"/>
    <mergeCell ref="C19:D28"/>
    <mergeCell ref="C67:E67"/>
    <mergeCell ref="D3:E3"/>
    <mergeCell ref="D5:E5"/>
    <mergeCell ref="D6:E6"/>
    <mergeCell ref="D7:E7"/>
    <mergeCell ref="A43:A44"/>
    <mergeCell ref="B43:B44"/>
    <mergeCell ref="C44:D44"/>
    <mergeCell ref="C43:D43"/>
    <mergeCell ref="D9:E9"/>
    <mergeCell ref="D10:E10"/>
    <mergeCell ref="D11:E11"/>
    <mergeCell ref="D12:E12"/>
    <mergeCell ref="D13:E13"/>
    <mergeCell ref="C31:E31"/>
    <mergeCell ref="C33:D41"/>
    <mergeCell ref="A45:A59"/>
    <mergeCell ref="B45:B59"/>
    <mergeCell ref="C45:D59"/>
    <mergeCell ref="C64:D64"/>
    <mergeCell ref="C65:D65"/>
    <mergeCell ref="C60:D60"/>
    <mergeCell ref="C63:D63"/>
    <mergeCell ref="C165:H165"/>
    <mergeCell ref="C29:D29"/>
    <mergeCell ref="C164:H164"/>
    <mergeCell ref="C163:H163"/>
    <mergeCell ref="E155:G155"/>
    <mergeCell ref="E156:G156"/>
    <mergeCell ref="E157:G157"/>
    <mergeCell ref="E161:G161"/>
    <mergeCell ref="C161:D161"/>
    <mergeCell ref="C157:D157"/>
    <mergeCell ref="C155:D155"/>
    <mergeCell ref="C156:D156"/>
    <mergeCell ref="C97:H97"/>
    <mergeCell ref="C68:E68"/>
    <mergeCell ref="E100:H100"/>
    <mergeCell ref="C135:O135"/>
    <mergeCell ref="G6:K8"/>
    <mergeCell ref="G10:K12"/>
    <mergeCell ref="C136:O136"/>
    <mergeCell ref="D138:M138"/>
    <mergeCell ref="N138:N139"/>
    <mergeCell ref="O138:O139"/>
    <mergeCell ref="C105:C108"/>
    <mergeCell ref="G105:G108"/>
    <mergeCell ref="F105:F108"/>
    <mergeCell ref="E105:E108"/>
    <mergeCell ref="D105:D108"/>
    <mergeCell ref="F6:F8"/>
    <mergeCell ref="F10:F12"/>
    <mergeCell ref="D8:E8"/>
  </mergeCells>
  <phoneticPr fontId="3" type="noConversion"/>
  <conditionalFormatting sqref="C19 C29:D29">
    <cfRule type="expression" dxfId="288" priority="87">
      <formula>$E$18=TRUE</formula>
    </cfRule>
  </conditionalFormatting>
  <conditionalFormatting sqref="C44">
    <cfRule type="expression" dxfId="287" priority="103">
      <formula>$E$43="other (please specify the legal form in the row below)"</formula>
    </cfRule>
  </conditionalFormatting>
  <conditionalFormatting sqref="D144:D146">
    <cfRule type="expression" dxfId="286" priority="8">
      <formula>$E$43="cooperative"</formula>
    </cfRule>
  </conditionalFormatting>
  <conditionalFormatting sqref="D70:E94">
    <cfRule type="expression" dxfId="285" priority="55">
      <formula>$E$42="Sustainability report prepared on a consolidated basis"</formula>
    </cfRule>
  </conditionalFormatting>
  <conditionalFormatting sqref="D140:O140 E149 E151">
    <cfRule type="expression" dxfId="284" priority="17">
      <formula>$C$140=TRUE</formula>
    </cfRule>
  </conditionalFormatting>
  <conditionalFormatting sqref="D140:O140">
    <cfRule type="expression" dxfId="283" priority="27">
      <formula>$C$140=TRUE</formula>
    </cfRule>
  </conditionalFormatting>
  <conditionalFormatting sqref="E19:E28">
    <cfRule type="expression" dxfId="282" priority="141">
      <formula>AND(ISBLANK(#REF!), $E$18=TRUE)</formula>
    </cfRule>
  </conditionalFormatting>
  <conditionalFormatting sqref="E19:E29">
    <cfRule type="expression" dxfId="281" priority="1">
      <formula>$E$18=TRUE</formula>
    </cfRule>
  </conditionalFormatting>
  <conditionalFormatting sqref="E34:E41">
    <cfRule type="expression" dxfId="280" priority="76">
      <formula>AND(ISBLANK(#REF!), $E$18=TRUE)</formula>
    </cfRule>
    <cfRule type="expression" dxfId="279" priority="75">
      <formula>$E$18=TRUE</formula>
    </cfRule>
  </conditionalFormatting>
  <conditionalFormatting sqref="E44">
    <cfRule type="expression" dxfId="278" priority="102">
      <formula>$E$43="other (please specify the legal form in the row below)"</formula>
    </cfRule>
  </conditionalFormatting>
  <conditionalFormatting sqref="E99">
    <cfRule type="expression" dxfId="277" priority="53">
      <formula>$D$81="YES"</formula>
    </cfRule>
  </conditionalFormatting>
  <conditionalFormatting sqref="E144:E146">
    <cfRule type="expression" dxfId="276" priority="11">
      <formula>$E144=template_label_ok</formula>
    </cfRule>
  </conditionalFormatting>
  <conditionalFormatting sqref="E150:G150">
    <cfRule type="expression" dxfId="275" priority="371">
      <formula>AND($C$140=TRUE,$O$140=TRUE)</formula>
    </cfRule>
  </conditionalFormatting>
  <conditionalFormatting sqref="E161:G161">
    <cfRule type="expression" dxfId="274" priority="44">
      <formula>$E$160=TRUE</formula>
    </cfRule>
  </conditionalFormatting>
  <conditionalFormatting sqref="E100:H100">
    <cfRule type="expression" dxfId="273" priority="52">
      <formula>$E$99=TRUE</formula>
    </cfRule>
  </conditionalFormatting>
  <conditionalFormatting sqref="F3:F5 F70:F94">
    <cfRule type="expression" dxfId="272" priority="146">
      <formula>$F3=template_label_ok</formula>
    </cfRule>
    <cfRule type="expression" dxfId="271" priority="147">
      <formula>$F3=template_label_missing_value</formula>
    </cfRule>
  </conditionalFormatting>
  <conditionalFormatting sqref="F6:F8">
    <cfRule type="expression" dxfId="270" priority="2">
      <formula>$F$6=template_label_error</formula>
    </cfRule>
    <cfRule type="expression" dxfId="269" priority="57">
      <formula>$F$6=template_label_value_inconsistency</formula>
    </cfRule>
    <cfRule type="expression" dxfId="268" priority="59">
      <formula>$F$6=template_label_ok</formula>
    </cfRule>
    <cfRule type="expression" dxfId="267" priority="60">
      <formula>$F$6=template_label_missing_value</formula>
    </cfRule>
  </conditionalFormatting>
  <conditionalFormatting sqref="F10">
    <cfRule type="expression" dxfId="266" priority="63">
      <formula>$F$10=template_label_ok</formula>
    </cfRule>
    <cfRule type="expression" dxfId="265" priority="56">
      <formula>$F$10=template_label_error</formula>
    </cfRule>
    <cfRule type="expression" dxfId="264" priority="61">
      <formula>$F$10=template_label_missing_value</formula>
    </cfRule>
    <cfRule type="expression" dxfId="263" priority="62">
      <formula>$F$10=template_label_value_inconsistency</formula>
    </cfRule>
  </conditionalFormatting>
  <conditionalFormatting sqref="F13:F14">
    <cfRule type="expression" dxfId="262" priority="64">
      <formula>$F13="MISSING VALUE"</formula>
    </cfRule>
    <cfRule type="expression" dxfId="261" priority="65">
      <formula>$F13="OK"</formula>
    </cfRule>
  </conditionalFormatting>
  <conditionalFormatting sqref="F18">
    <cfRule type="expression" dxfId="260" priority="88">
      <formula>$F$18=template_label_ok</formula>
    </cfRule>
  </conditionalFormatting>
  <conditionalFormatting sqref="F19:F29">
    <cfRule type="expression" dxfId="259" priority="85">
      <formula>$F19=template_label_missing_value</formula>
    </cfRule>
    <cfRule type="expression" dxfId="258" priority="7">
      <formula>$F19=template_label_value_inconsistency</formula>
    </cfRule>
    <cfRule type="expression" dxfId="257" priority="86">
      <formula>$F19=template_label_ok</formula>
    </cfRule>
  </conditionalFormatting>
  <conditionalFormatting sqref="F29">
    <cfRule type="expression" dxfId="256" priority="12">
      <formula>$F$29=template_label_invalid_url</formula>
    </cfRule>
  </conditionalFormatting>
  <conditionalFormatting sqref="F32">
    <cfRule type="expression" dxfId="255" priority="68">
      <formula>$F32=template_label_missing_value</formula>
    </cfRule>
    <cfRule type="expression" dxfId="254" priority="69">
      <formula>$F32=template_label_ok</formula>
    </cfRule>
  </conditionalFormatting>
  <conditionalFormatting sqref="F33">
    <cfRule type="expression" dxfId="253" priority="5">
      <formula>$F$33=template_label_value_inconsistency</formula>
    </cfRule>
    <cfRule type="expression" dxfId="252" priority="119">
      <formula>$F$33=template_label_ok</formula>
    </cfRule>
    <cfRule type="expression" dxfId="251" priority="118">
      <formula>$F$33=template_label_missing_value</formula>
    </cfRule>
  </conditionalFormatting>
  <conditionalFormatting sqref="F34:F41">
    <cfRule type="expression" dxfId="250" priority="6">
      <formula>$F34="VALUE INCONSISTENCY"</formula>
    </cfRule>
    <cfRule type="expression" dxfId="249" priority="73">
      <formula>$F34="MISSING VALUE"</formula>
    </cfRule>
    <cfRule type="expression" dxfId="248" priority="74">
      <formula>$F34="OK"</formula>
    </cfRule>
  </conditionalFormatting>
  <conditionalFormatting sqref="F42">
    <cfRule type="expression" dxfId="247" priority="151">
      <formula>$F$42=template_label_missing_value</formula>
    </cfRule>
    <cfRule type="expression" dxfId="246" priority="128">
      <formula>$F$42=template_label_ok</formula>
    </cfRule>
  </conditionalFormatting>
  <conditionalFormatting sqref="F43">
    <cfRule type="expression" dxfId="245" priority="126">
      <formula>$F$43=template_label_missing_value</formula>
    </cfRule>
    <cfRule type="expression" dxfId="244" priority="127">
      <formula>$F$43=template_label_ok</formula>
    </cfRule>
  </conditionalFormatting>
  <conditionalFormatting sqref="F44">
    <cfRule type="expression" dxfId="243" priority="89">
      <formula>$F$44=template_label_missing_value</formula>
    </cfRule>
    <cfRule type="expression" dxfId="242" priority="90">
      <formula>$F$44=template_label_ok</formula>
    </cfRule>
  </conditionalFormatting>
  <conditionalFormatting sqref="F45">
    <cfRule type="expression" dxfId="241" priority="4">
      <formula>$F$45=template_label_value_inconsistency</formula>
    </cfRule>
    <cfRule type="expression" dxfId="240" priority="149">
      <formula>$F$45=template_label_missing_value</formula>
    </cfRule>
    <cfRule type="expression" dxfId="239" priority="148">
      <formula>$F$45=template_label_ok</formula>
    </cfRule>
    <cfRule type="expression" dxfId="238" priority="41">
      <formula>$F$45=template_label_error</formula>
    </cfRule>
  </conditionalFormatting>
  <conditionalFormatting sqref="F46:F59">
    <cfRule type="expression" dxfId="237" priority="38">
      <formula>$F46=template_label_missing_value</formula>
    </cfRule>
    <cfRule type="expression" dxfId="236" priority="40">
      <formula>$F46=template_label_error</formula>
    </cfRule>
    <cfRule type="expression" dxfId="235" priority="39">
      <formula>$F46=template_label_ok</formula>
    </cfRule>
    <cfRule type="expression" dxfId="234" priority="3">
      <formula>$F46=template_label_value_inconsistency</formula>
    </cfRule>
  </conditionalFormatting>
  <conditionalFormatting sqref="F60">
    <cfRule type="expression" dxfId="233" priority="135">
      <formula>$F$60=template_label_ok</formula>
    </cfRule>
    <cfRule type="expression" dxfId="232" priority="136">
      <formula>$F$60=template_label_missing_value</formula>
    </cfRule>
  </conditionalFormatting>
  <conditionalFormatting sqref="F61:F65">
    <cfRule type="expression" dxfId="231" priority="133">
      <formula>$F61=template_label_ok</formula>
    </cfRule>
    <cfRule type="expression" dxfId="230" priority="134">
      <formula>$F61=template_label_missing_value</formula>
    </cfRule>
  </conditionalFormatting>
  <conditionalFormatting sqref="F93">
    <cfRule type="expression" dxfId="229" priority="270">
      <formula>#REF!="MISSING VALUE"</formula>
    </cfRule>
    <cfRule type="expression" dxfId="228" priority="271">
      <formula>#REF!="OK"</formula>
    </cfRule>
  </conditionalFormatting>
  <conditionalFormatting sqref="F94">
    <cfRule type="expression" dxfId="227" priority="272">
      <formula>$F105="MISSING VALUE"</formula>
    </cfRule>
    <cfRule type="expression" dxfId="226" priority="273">
      <formula>$F105="OK"</formula>
    </cfRule>
  </conditionalFormatting>
  <conditionalFormatting sqref="G43">
    <cfRule type="expression" dxfId="225" priority="132">
      <formula>$G$43="Please specify the legal form in the row below"</formula>
    </cfRule>
  </conditionalFormatting>
  <conditionalFormatting sqref="H109:H133">
    <cfRule type="expression" dxfId="224" priority="13">
      <formula>$H$108=FALSE</formula>
    </cfRule>
  </conditionalFormatting>
  <conditionalFormatting sqref="H149:H151">
    <cfRule type="expression" dxfId="223" priority="14">
      <formula>$H149=template_label_missing_value</formula>
    </cfRule>
    <cfRule type="expression" dxfId="222" priority="15">
      <formula>$H149=template_label_ok</formula>
    </cfRule>
  </conditionalFormatting>
  <conditionalFormatting sqref="H155:H157 H161">
    <cfRule type="expression" dxfId="221" priority="100">
      <formula>$H155=template_label_ok</formula>
    </cfRule>
    <cfRule type="expression" dxfId="220" priority="101">
      <formula>$H155=template_label_missing_value</formula>
    </cfRule>
  </conditionalFormatting>
  <conditionalFormatting sqref="I100">
    <cfRule type="expression" dxfId="219" priority="43">
      <formula>$I$100=template_label_missing_value</formula>
    </cfRule>
    <cfRule type="expression" dxfId="218" priority="84">
      <formula>$I$100=template_label_ok</formula>
    </cfRule>
  </conditionalFormatting>
  <conditionalFormatting sqref="I109:I133">
    <cfRule type="expression" dxfId="217" priority="92">
      <formula>$I109=template_label_missing_value</formula>
    </cfRule>
    <cfRule type="expression" dxfId="216" priority="91">
      <formula>$I109=template_label_ok</formula>
    </cfRule>
  </conditionalFormatting>
  <conditionalFormatting sqref="I165">
    <cfRule type="expression" dxfId="215" priority="83">
      <formula>$I$165=template_label_ok</formula>
    </cfRule>
  </conditionalFormatting>
  <conditionalFormatting sqref="P140">
    <cfRule type="expression" dxfId="214" priority="24">
      <formula>$P$140=template_label_ok</formula>
    </cfRule>
    <cfRule type="expression" dxfId="213" priority="23">
      <formula>$P$140=template_label_missing_value</formula>
    </cfRule>
  </conditionalFormatting>
  <dataValidations xWindow="549" yWindow="696" count="20">
    <dataValidation type="list" allowBlank="1" showInputMessage="1" showErrorMessage="1" sqref="E32" xr:uid="{A2DCDFDB-ADC4-436B-BD6C-4E84E82AE073}">
      <formula1>"Option A (Basic Module only), Option B (Basic Module and Comprehensive Module)"</formula1>
    </dataValidation>
    <dataValidation type="list" allowBlank="1" showInputMessage="1" showErrorMessage="1" sqref="E42" xr:uid="{4F13A5F9-E736-4E05-A233-B9B112EBE6A1}">
      <formula1>"Sustainability report prepared on an individual basis, Sustainability report prepared on a consolidated basis"</formula1>
    </dataValidation>
    <dataValidation type="list" allowBlank="1" showInputMessage="1" showErrorMessage="1" sqref="E64" xr:uid="{1DA6DC5E-36CE-4C4E-942D-7DCF7644718A}">
      <formula1>"Headcount, Full-time equivalent (FTE)"</formula1>
    </dataValidation>
    <dataValidation type="list" allowBlank="1" showInputMessage="1" showErrorMessage="1" sqref="G109:G133" xr:uid="{BE8F6A12-5C78-4D48-9F63-01FCA7AABD87}">
      <formula1>enum_ListCountriesName</formula1>
    </dataValidation>
    <dataValidation type="list" allowBlank="1" showInputMessage="1" showErrorMessage="1" sqref="E19:E28 E34:E41" xr:uid="{544D34CA-1630-49D5-B390-0FD7794F8530}">
      <formula1>enum_ListOmittedDisclosures</formula1>
    </dataValidation>
    <dataValidation type="date" operator="equal" allowBlank="1" showInputMessage="1" showErrorMessage="1" promptTitle="Warning" prompt="The date should be inserted in the following format: dd/mm/yyyy_x000a_Please be sure to use the &quot;/&quot; and not the &quot;.&quot;" sqref="E32" xr:uid="{4104C250-8FE3-463A-B01E-113FF4011C28}">
      <formula1>E32</formula1>
    </dataValidation>
    <dataValidation type="decimal" operator="equal" allowBlank="1" showInputMessage="1" showErrorMessage="1" sqref="D145 E60:E62" xr:uid="{546D8560-FA10-4E3C-8848-2A7A25B13150}">
      <formula1>D60</formula1>
    </dataValidation>
    <dataValidation type="custom" showInputMessage="1" showErrorMessage="1" sqref="E160 I147:O153 E99 I99 C152:H153 C147:H147 C140:O141 E18 H108" xr:uid="{9BD8F46B-C9AA-4C89-814F-A6D87FB15620}">
      <formula1>OR(C18=TRUE,C18=FALSE)</formula1>
    </dataValidation>
    <dataValidation allowBlank="1" showInputMessage="1" showErrorMessage="1" promptTitle="Warning" prompt="The coordinates should be entered in the format of &quot;latitude,langtitude&quot;. For example, the EFRAG office if Brussels would be reported as 50.840664,4.369322. Multiple locations are to be separated by whitespace." sqref="M109" xr:uid="{C35A9262-C360-4D5E-968C-53C84371D491}"/>
    <dataValidation type="list" allowBlank="1" showInputMessage="1" showErrorMessage="1" sqref="D5:E5" xr:uid="{CBA5C810-BD1B-4457-A1F9-2D364225E70C}">
      <formula1>enum_ListOfCurrencies</formula1>
    </dataValidation>
    <dataValidation type="list" allowBlank="1" showInputMessage="1" showErrorMessage="1" sqref="E63" xr:uid="{144F4C96-EADD-4F0D-816D-09334348F775}">
      <formula1>enum_employee_methodology</formula1>
    </dataValidation>
    <dataValidation type="list" allowBlank="1" showInputMessage="1" showErrorMessage="1" sqref="E33" xr:uid="{AC769C83-4CF3-4F4D-8304-CCD442331E8E}">
      <formula1>enum_ListOmittedDisclosuresWithNone</formula1>
    </dataValidation>
    <dataValidation type="custom" showInputMessage="1" showErrorMessage="1" sqref="K109:K133" xr:uid="{87B45667-2565-4DEE-8FB7-7B0AF6539C1C}">
      <formula1>LOWER(SUBSTITUTE(D109," ","+" )) &amp; "+" &amp; LOWER(SUBSTITUTE(E109," ","+" )) &amp; "+" &amp; LOWER(SUBSTITUTE(F109," ","+" )) &amp; "+" &amp; LOWER(SUBSTITUTE(G109," ","+" )) &amp; "+"</formula1>
    </dataValidation>
    <dataValidation type="list" allowBlank="1" showInputMessage="1" showErrorMessage="1" sqref="D4" xr:uid="{283D8083-3194-4536-B7E2-CB3D63926BC2}">
      <formula1>enum_ListIdentifier</formula1>
    </dataValidation>
    <dataValidation type="date" operator="greaterThan" showInputMessage="1" showErrorMessage="1" sqref="E14" xr:uid="{14FB1F45-F6E6-440A-8B10-700A785CFE1C}">
      <formula1>D10</formula1>
    </dataValidation>
    <dataValidation type="list" allowBlank="1" showInputMessage="1" showErrorMessage="1" sqref="D6:E6 D10:E10" xr:uid="{286A2A42-664A-4629-8EDF-6AD1A9EC4B90}">
      <formula1>enum_ListYear</formula1>
    </dataValidation>
    <dataValidation type="list" allowBlank="1" showInputMessage="1" showErrorMessage="1" sqref="D7:E7 D11:E11" xr:uid="{D33917E8-F0D3-4A11-925F-EB91222F88F7}">
      <formula1>enum_ListMonth</formula1>
    </dataValidation>
    <dataValidation type="list" operator="equal" showInputMessage="1" showErrorMessage="1" sqref="D8:E8" xr:uid="{64E572C6-C437-4D0B-9B15-945D6883829A}">
      <formula1>enum_ListDays</formula1>
    </dataValidation>
    <dataValidation type="list" showInputMessage="1" showErrorMessage="1" sqref="D12:E12" xr:uid="{539457F0-6934-48A5-A4D1-97B449C94467}">
      <formula1>enum_ListDays</formula1>
    </dataValidation>
    <dataValidation type="list" allowBlank="1" showInputMessage="1" showErrorMessage="1" sqref="E45:E59" xr:uid="{EDCACB96-AA7D-42B4-A79D-8DE45409D62B}">
      <formula1>enum_ListNACETechnicalName</formula1>
    </dataValidation>
  </dataValidations>
  <hyperlinks>
    <hyperlink ref="B43" r:id="rId1" location="id-160" display="https://xbrl.efrag.org/e-esrs/2024-12-17-efrag-vsme.xhtml - id-160" xr:uid="{6E35ED44-D9B7-4052-8FB7-A15755AA2F9A}"/>
    <hyperlink ref="B45" r:id="rId2" location="id-166" display="69 - 70" xr:uid="{FA270BAD-2BBA-4F19-A5BF-CB6660F0026F}"/>
    <hyperlink ref="B62" r:id="rId3" xr:uid="{D4D508FB-87F9-401E-995D-187EDEBAA1BE}"/>
    <hyperlink ref="A32" r:id="rId4" xr:uid="{C2B9CAC6-77B0-4EAC-8669-72761233B94E}"/>
    <hyperlink ref="A33" r:id="rId5" xr:uid="{550B4979-0FEB-4358-9C47-F633B3AD029B}"/>
    <hyperlink ref="A42" r:id="rId6" xr:uid="{F8EF2A00-D01F-454A-B219-4512593E4195}"/>
    <hyperlink ref="A45" r:id="rId7" location="id-55" xr:uid="{34C299B3-3BF1-4370-BBCB-6C0B88190DAA}"/>
    <hyperlink ref="A61" r:id="rId8" xr:uid="{720E8189-B604-4A6E-B087-2B36F1DBDA4C}"/>
    <hyperlink ref="A62" r:id="rId9" xr:uid="{D8858E63-1190-459F-86C5-E2BF02C1FB92}"/>
    <hyperlink ref="A65" r:id="rId10" xr:uid="{91A049C2-07F3-45F0-A7D7-EE0EA55C5BC7}"/>
    <hyperlink ref="C97" r:id="rId11" location="id-61" display="https://xbrl.efrag.org/e-esrs/2024-12-17-efrag-vsme.xhtml - id-61" xr:uid="{DFAA86FF-296C-45FD-AFBE-90C8E90045EB}"/>
    <hyperlink ref="C104" r:id="rId12" location="id-170" display="73 -77" xr:uid="{8ABC957E-1EBE-4A8D-863F-E7583DD2AC76}"/>
    <hyperlink ref="C17" r:id="rId13" location="id-36" display="https://xbrl.efrag.org/e-esrs/2024-12-17-efrag-vsme.xhtml - id-36" xr:uid="{19CB59E3-AADC-498C-AF52-20D4994CF242}"/>
    <hyperlink ref="C98" r:id="rId14" location="id-174" display="https://xbrl.efrag.org/e-esrs/2024-12-17-efrag-vsme.xhtml - id-174" xr:uid="{C5A15A7C-043F-4781-AFDF-10B6996439A7}"/>
    <hyperlink ref="C164" r:id="rId15" location="id-30" display="https://xbrl.efrag.org/e-esrs/2024-12-17-efrag-vsme.xhtml - id-30" xr:uid="{76D42933-A7B6-4201-BBAA-C4F0D44A8C21}"/>
    <hyperlink ref="A161" r:id="rId16" xr:uid="{E97D4368-4682-47AC-B32E-7B38F4BB397A}"/>
    <hyperlink ref="C103" r:id="rId17" location="id-60" xr:uid="{A4AF9C3B-B0B9-4070-AABC-C04C5FA2EE60}"/>
    <hyperlink ref="B157" r:id="rId18" display="https://xbrl.efrag.org/eng/interactive/vsme/vsme-guidance-annex-ii/2025-07-30-ec-rec/148" xr:uid="{5CB57F72-A4D3-4052-85C2-F2ACBE8A0625}"/>
    <hyperlink ref="A157" r:id="rId19" xr:uid="{BC12DD63-6EEA-4437-B6AB-A88936D421E8}"/>
    <hyperlink ref="A155" r:id="rId20" xr:uid="{20731D9F-75F2-48D9-BBE1-5734A2AEF5B8}"/>
    <hyperlink ref="C68:E68" r:id="rId21" display="24(d)" xr:uid="{FE76555F-2718-48D9-B35B-738DCDA0476C}"/>
    <hyperlink ref="A60" r:id="rId22" xr:uid="{785C6C18-5546-41D1-A9CA-4896BC8E24DF}"/>
    <hyperlink ref="A156" r:id="rId23" xr:uid="{671D2E36-4142-4CDA-8EBC-2663BBA303BE}"/>
    <hyperlink ref="C136" r:id="rId24" location="id-62" display="Paragraph 26" xr:uid="{1422AC39-BA25-4CD7-940C-725F3655BB72}"/>
    <hyperlink ref="C137" r:id="rId25" location="id-175" display="78-80" xr:uid="{29217F16-5FD6-42B1-908F-0D6E08E76BBB}"/>
    <hyperlink ref="A149:B149" r:id="rId26" location="id-110" display="https://xbrl.efrag.org/e-esrs/2024-12-17-efrag-vsme.xhtml - id-110" xr:uid="{4CDC38AF-269F-44A9-8E58-C12060FF2342}"/>
    <hyperlink ref="A151" r:id="rId27" display="https://xbrl.efrag.org/eng/interactive/vsme/vsme-standard-annex-i/2025-07-30-ec-rec/49" xr:uid="{D30D55EA-0736-4AA0-9B56-68C3D904FFDE}"/>
    <hyperlink ref="C143:D143" r:id="rId28" display="https://xbrl.efrag.org/eng/interactive/vsme/vsme-guidance-annex-ii/2025-07-30-ec-rec/15" xr:uid="{57C93BA6-29CE-468C-8E78-67130131E33C}"/>
    <hyperlink ref="A43" r:id="rId29" location="id-54" xr:uid="{4D61DA22-7170-4B6E-B717-DB0522673FDD}"/>
    <hyperlink ref="A43:A44" r:id="rId30" display="24(e)(i)" xr:uid="{72955AD9-15B0-4E93-A887-B2AE5AE34125}"/>
    <hyperlink ref="A45:A59" r:id="rId31" display="24(e)(ii)" xr:uid="{63CDEE42-35EF-4F82-9479-44131CA090AD}"/>
    <hyperlink ref="C97:H97" r:id="rId32" display="https://xbrl.efrag.org/eng/interactive/vsme/vsme-standard-annex-i/2025-07-30-ec-rec/25" xr:uid="{8EB8478F-6CBB-42E3-B5BB-21A4D0415C38}"/>
    <hyperlink ref="C103:H103" r:id="rId33" display="24(e)(vii)" xr:uid="{C6042EE5-CA3B-4737-B838-E6FF23A0BB7E}"/>
    <hyperlink ref="C136:O136" r:id="rId34" display="26-28" xr:uid="{21BF77BD-962D-4692-8F8C-8E643BF2A2FA}"/>
    <hyperlink ref="A149" r:id="rId35" display="https://xbrl.efrag.org/eng/interactive/vsme/vsme-standard-annex-i/2025-07-30-ec-rec/48" xr:uid="{E8705486-83DC-4F35-98E0-56DDE20F2EBF}"/>
    <hyperlink ref="C17:E17" r:id="rId36" display="https://xbrl.efrag.org/eng/interactive/vsme/vsme-standard-annex-i/2025-07-30-ec-rec/16" xr:uid="{3E9A84F0-7FE8-4AD8-84A8-8BBABEC967C0}"/>
    <hyperlink ref="B43:B44" r:id="rId37" display="https://xbrl.efrag.org/eng/interactive/vsme/vsme-guidance-annex-ii/2025-07-30-ec-rec/4" xr:uid="{821F1107-DFCF-4075-8811-6950EDDD41AC}"/>
    <hyperlink ref="B45:B59" r:id="rId38" display="5-6" xr:uid="{820D3D54-AE35-4C9F-9F05-D9C65601D449}"/>
    <hyperlink ref="C98:H98" r:id="rId39" display="https://xbrl.efrag.org/eng/interactive/vsme/vsme-guidance-annex-ii/2025-07-30-ec-rec/13" xr:uid="{34CC0771-7A7A-4256-8604-3C6AC612CB8F}"/>
    <hyperlink ref="C104:H104" r:id="rId40" display=" 9-12" xr:uid="{8CFBD353-B0BE-4B92-B429-4A0F2EEADF94}"/>
    <hyperlink ref="C137:O137" r:id="rId41" display="14-16" xr:uid="{CF2D0EF1-31E3-4957-95F3-15807A0951DF}"/>
    <hyperlink ref="B149" r:id="rId42" display="https://xbrl.efrag.org/eng/interactive/vsme/vsme-guidance-annex-ii/2025-07-30-ec-rec/149" xr:uid="{3F21BED7-A3D8-4283-A715-0AF86BBD95CA}"/>
    <hyperlink ref="C164:H164" r:id="rId43" display="https://xbrl.efrag.org/eng/interactive/vsme/vsme-standard-annex-i/2025-07-30-ec-rec/10" xr:uid="{819CBA6C-8654-4D09-AB1C-01A45B1548B4}"/>
    <hyperlink ref="A63" r:id="rId44" xr:uid="{1CA670AC-AE61-4EBA-A48F-DD1755DDE711}"/>
    <hyperlink ref="A64" r:id="rId45" xr:uid="{38AD638B-9309-43D3-9974-DDAD89DD3A81}"/>
    <hyperlink ref="B150" r:id="rId46" location="id-110" display="https://xbrl.efrag.org/e-esrs/2024-12-17-efrag-vsme.xhtml - id-110" xr:uid="{768AD984-0FDA-4B83-81D3-76F2D106DD02}"/>
    <hyperlink ref="B151" r:id="rId47" location="id-110" display="https://xbrl.efrag.org/e-esrs/2024-12-17-efrag-vsme.xhtml - id-110" xr:uid="{35D0CFFA-65BC-428F-A344-02A0AEC99B37}"/>
    <hyperlink ref="B63" r:id="rId48" xr:uid="{574F6B8E-0C3C-4751-88CB-1E069AEA907A}"/>
    <hyperlink ref="B64" r:id="rId49" xr:uid="{9B3A4583-A796-4E9D-B618-7D963786DEA3}"/>
    <hyperlink ref="B65" r:id="rId50" xr:uid="{6B6EB5AC-63E2-4174-8796-708D6B7A70BA}"/>
  </hyperlinks>
  <pageMargins left="0.7" right="0.7" top="0.75" bottom="0.75" header="0.3" footer="0.3"/>
  <pageSetup paperSize="9" orientation="portrait" horizontalDpi="4294967293" verticalDpi="4294967293" r:id="rId51"/>
  <drawing r:id="rId52"/>
  <extLst>
    <ext xmlns:x14="http://schemas.microsoft.com/office/spreadsheetml/2009/9/main" uri="{CCE6A557-97BC-4b89-ADB6-D9C93CAAB3DF}">
      <x14:dataValidations xmlns:xm="http://schemas.microsoft.com/office/excel/2006/main" xWindow="549" yWindow="696" count="2">
        <x14:dataValidation type="list" allowBlank="1" showInputMessage="1" showErrorMessage="1" xr:uid="{0AF44263-3F7A-40FE-9400-EEC7E8C4DF4E}">
          <x14:formula1>
            <xm:f>'Enumeration Lists'!$E$2:$E$257</xm:f>
          </x14:formula1>
          <xm:sqref>E65</xm:sqref>
        </x14:dataValidation>
        <x14:dataValidation type="list" allowBlank="1" showInputMessage="1" showErrorMessage="1" xr:uid="{386E27C7-13F7-4F0C-8DF1-6A82CC469E13}">
          <x14:formula1>
            <xm:f>'Enumeration Lists'!$L$2:$L$6</xm:f>
          </x14:formula1>
          <xm:sqref>E43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0D012-9FFA-46E0-AC1E-254B3B108EC6}">
  <sheetPr codeName="Sheet3"/>
  <dimension ref="A1:U244"/>
  <sheetViews>
    <sheetView showGridLines="0" zoomScale="70" zoomScaleNormal="70" workbookViewId="0">
      <selection activeCell="B14" sqref="B14"/>
    </sheetView>
  </sheetViews>
  <sheetFormatPr baseColWidth="10" defaultColWidth="8.85546875" defaultRowHeight="15" outlineLevelRow="1" x14ac:dyDescent="0.25"/>
  <cols>
    <col min="1" max="2" width="10" bestFit="1" customWidth="1"/>
    <col min="3" max="3" width="78.140625" customWidth="1"/>
    <col min="4" max="4" width="17.42578125" customWidth="1"/>
    <col min="5" max="5" width="19.5703125" customWidth="1"/>
    <col min="6" max="6" width="22.5703125" customWidth="1"/>
    <col min="7" max="7" width="15.5703125" customWidth="1"/>
    <col min="8" max="8" width="5.42578125" customWidth="1"/>
    <col min="9" max="9" width="13.5703125" customWidth="1"/>
    <col min="10" max="10" width="26.5703125" customWidth="1"/>
    <col min="11" max="11" width="24.5703125" customWidth="1"/>
    <col min="12" max="12" width="27.42578125" customWidth="1"/>
    <col min="13" max="13" width="30.42578125" customWidth="1"/>
    <col min="14" max="14" width="29.5703125" customWidth="1"/>
  </cols>
  <sheetData>
    <row r="1" spans="1:13" ht="60.75" thickBot="1" x14ac:dyDescent="0.3">
      <c r="A1" s="181" t="str">
        <f>template_label_paragraph_reference</f>
        <v>Paragraph Reference</v>
      </c>
      <c r="B1" s="181" t="str">
        <f>template_label_paragraph_guidance_reference</f>
        <v>Paragraph Guidance Reference</v>
      </c>
    </row>
    <row r="2" spans="1:13" x14ac:dyDescent="0.25">
      <c r="C2" s="412" t="str">
        <f>template_label_b3_total_energy_consumption&amp;" "&amp;template_label_from&amp;" "&amp;template_starting_date_display&amp;" "&amp;template_label_to&amp;" "&amp;template_ending_date_display&amp;" "&amp;template_label_always_to_be_reported</f>
        <v>B3 - Total Energy Consumption (in MWh) from 2025-01-01 to 2025-12-31 [Always to be reported]</v>
      </c>
      <c r="D2" s="413"/>
      <c r="E2" s="413"/>
      <c r="F2" s="413"/>
      <c r="G2" s="413"/>
      <c r="H2" s="413"/>
      <c r="I2" s="413"/>
      <c r="J2" s="413"/>
      <c r="K2" s="414"/>
    </row>
    <row r="3" spans="1:13" x14ac:dyDescent="0.25">
      <c r="C3" s="353">
        <v>29</v>
      </c>
      <c r="D3" s="354"/>
      <c r="E3" s="354"/>
      <c r="F3" s="354"/>
      <c r="G3" s="354"/>
      <c r="H3" s="354"/>
      <c r="I3" s="354"/>
      <c r="J3" s="354"/>
      <c r="K3" s="355"/>
    </row>
    <row r="4" spans="1:13" x14ac:dyDescent="0.25">
      <c r="C4" s="697" t="s">
        <v>107</v>
      </c>
      <c r="D4" s="437"/>
      <c r="E4" s="437"/>
      <c r="F4" s="437"/>
      <c r="G4" s="437"/>
      <c r="H4" s="437"/>
      <c r="I4" s="437"/>
      <c r="J4" s="437"/>
      <c r="K4" s="698"/>
    </row>
    <row r="5" spans="1:13" ht="15.75" thickBot="1" x14ac:dyDescent="0.3">
      <c r="C5" s="713" t="str">
        <f>template_label_total_energy_consumption</f>
        <v>Total Energy Consumption</v>
      </c>
      <c r="D5" s="714"/>
      <c r="E5" s="714"/>
      <c r="F5" s="715"/>
      <c r="G5" s="730">
        <v>3410.8050000000003</v>
      </c>
      <c r="H5" s="731"/>
      <c r="I5" s="731"/>
      <c r="J5" s="731"/>
      <c r="K5" s="732"/>
      <c r="L5" s="13" t="str">
        <f>IF(AND(OR('General Information'!E32="Option A (Basic Module only)", 'General Information'!E32="Option B (Basic Module and Comprehensive Module)"), G5=""), template_label_missing_value, IF('General Information'!E32="", "", template_label_ok))</f>
        <v>OK</v>
      </c>
    </row>
    <row r="6" spans="1:13" ht="15.75" thickBot="1" x14ac:dyDescent="0.3"/>
    <row r="7" spans="1:13" x14ac:dyDescent="0.25">
      <c r="C7" s="412" t="str">
        <f>template_label_b3_breakdown_of_energy_consumption&amp;" "&amp;template_label_from&amp;" "&amp;template_starting_date_display&amp;" "&amp;template_label_to&amp;" "&amp;template_ending_date_display&amp;" "&amp;template_label_if_applicable</f>
        <v>B3 - Breakdown of energy consumption (in MWh) from 2025-01-01 to 2025-12-31 [If applicable]</v>
      </c>
      <c r="D7" s="413"/>
      <c r="E7" s="413"/>
      <c r="F7" s="413"/>
      <c r="G7" s="413"/>
      <c r="H7" s="413"/>
      <c r="I7" s="413"/>
      <c r="J7" s="413"/>
      <c r="K7" s="414"/>
    </row>
    <row r="8" spans="1:13" x14ac:dyDescent="0.25">
      <c r="C8" s="353">
        <v>29</v>
      </c>
      <c r="D8" s="354"/>
      <c r="E8" s="354"/>
      <c r="F8" s="354"/>
      <c r="G8" s="354"/>
      <c r="H8" s="354"/>
      <c r="I8" s="354"/>
      <c r="J8" s="354"/>
      <c r="K8" s="355"/>
    </row>
    <row r="9" spans="1:13" x14ac:dyDescent="0.25">
      <c r="C9" s="697" t="s">
        <v>107</v>
      </c>
      <c r="D9" s="437"/>
      <c r="E9" s="437"/>
      <c r="F9" s="437"/>
      <c r="G9" s="437"/>
      <c r="H9" s="437"/>
      <c r="I9" s="437"/>
      <c r="J9" s="437"/>
      <c r="K9" s="698"/>
    </row>
    <row r="10" spans="1:13" x14ac:dyDescent="0.25">
      <c r="C10" s="676" t="str">
        <f>template_label_has_the_undertaking_obtained_the_necessary_information_to_provide_an_energy_consumption_breakdown</f>
        <v>Has the undertaking obtained the necessary information to provide an energy consumption breakdown?</v>
      </c>
      <c r="D10" s="677"/>
      <c r="E10" s="677"/>
      <c r="F10" s="677"/>
      <c r="G10" s="643" t="b">
        <v>1</v>
      </c>
      <c r="H10" s="643"/>
      <c r="I10" s="643"/>
      <c r="J10" s="643"/>
      <c r="K10" s="644"/>
    </row>
    <row r="11" spans="1:13" ht="38.85" customHeight="1" x14ac:dyDescent="0.25">
      <c r="C11" s="736"/>
      <c r="D11" s="737"/>
      <c r="E11" s="737"/>
      <c r="F11" s="737"/>
      <c r="G11" s="728" t="str">
        <f>template_label_renewable</f>
        <v>Renewable</v>
      </c>
      <c r="H11" s="729"/>
      <c r="I11" s="729"/>
      <c r="J11" s="68" t="str">
        <f>template_label_non_renewable</f>
        <v>Non-renewable</v>
      </c>
      <c r="K11" s="69" t="str">
        <f>template_label_total_renewable_and_nonrenewable</f>
        <v>Total renewable and non-renewable</v>
      </c>
      <c r="L11" s="13"/>
    </row>
    <row r="12" spans="1:13" x14ac:dyDescent="0.25">
      <c r="C12" s="716" t="str">
        <f>template_label_electricity</f>
        <v>Electricity (as reflected in utility billings)</v>
      </c>
      <c r="D12" s="717"/>
      <c r="E12" s="717"/>
      <c r="F12" s="718"/>
      <c r="G12" s="722">
        <v>0</v>
      </c>
      <c r="H12" s="723"/>
      <c r="I12" s="724"/>
      <c r="J12" s="184">
        <v>1918</v>
      </c>
      <c r="K12" s="221">
        <f>IF(AND(G12="",J12=""),"-",SUM(G12:J12))</f>
        <v>1918</v>
      </c>
      <c r="L12" s="654" t="str" cm="1">
        <f t="array" ref="L12">IF(G10=TRUE,
    IF(SUMPRODUCT(--(G12:J14&lt;&gt;"-"), --(G12:J14&lt;&gt;""))&gt;0,
        IF(SUM(G12:J14) &gt; TotalEnergyConsumption, template_label_value_inconsistency, template_label_ok),
        template_label_missing_value),
"")</f>
        <v>OK</v>
      </c>
    </row>
    <row r="13" spans="1:13" x14ac:dyDescent="0.25">
      <c r="C13" s="719" t="str">
        <f>template_label_selfgenerated_electricity</f>
        <v>Self-generated electricity</v>
      </c>
      <c r="D13" s="720"/>
      <c r="E13" s="720"/>
      <c r="F13" s="721"/>
      <c r="G13" s="722">
        <v>0</v>
      </c>
      <c r="H13" s="723"/>
      <c r="I13" s="724"/>
      <c r="J13" s="184">
        <v>0</v>
      </c>
      <c r="K13" s="221">
        <f>IF(AND(G13="",J13=""),"-",SUM(G13:J13))</f>
        <v>0</v>
      </c>
      <c r="L13" s="654"/>
    </row>
    <row r="14" spans="1:13" ht="15.75" thickBot="1" x14ac:dyDescent="0.3">
      <c r="C14" s="738" t="str">
        <f>template_label_fuels</f>
        <v>Fuels (see Fuel Converter on Fuels worksheet)</v>
      </c>
      <c r="D14" s="739"/>
      <c r="E14" s="739"/>
      <c r="F14" s="740"/>
      <c r="G14" s="725">
        <v>0</v>
      </c>
      <c r="H14" s="726"/>
      <c r="I14" s="727"/>
      <c r="J14" s="185">
        <v>1492.8050000000001</v>
      </c>
      <c r="K14" s="222">
        <f>IF(AND(G14="-",J14="-"),"-",SUM(G14:J14))</f>
        <v>1492.8050000000001</v>
      </c>
      <c r="L14" s="654"/>
      <c r="M14" t="str">
        <f>template_label_energy_consumption_warning</f>
        <v xml:space="preserve">ℹ️  Please note that the formula present in this cell may be overwritten in case the undertaking wants to directly provide the value. </v>
      </c>
    </row>
    <row r="15" spans="1:13" ht="15.75" thickBot="1" x14ac:dyDescent="0.3"/>
    <row r="16" spans="1:13" ht="28.5" customHeight="1" x14ac:dyDescent="0.25">
      <c r="C16" s="705" t="str">
        <f>template_label_b3_estimated_greenhouse_gas_emissions&amp; " "&amp;template_label_always_to_be_reported</f>
        <v>B3 - Estimated Greenhouse Gas Emissions considering the GHG Protocol Version 2004 (in tCO2e) [Always to be reported]</v>
      </c>
      <c r="D16" s="706"/>
      <c r="E16" s="706"/>
      <c r="F16" s="707"/>
      <c r="G16" s="710" t="str">
        <f>template_label_c3_ghg_reduction_targets&amp;" "&amp;template_label_if_applicable</f>
        <v>C3 - GHG reduction targets (in tC02e) [If applicable]</v>
      </c>
      <c r="H16" s="711"/>
      <c r="I16" s="711"/>
      <c r="J16" s="711"/>
      <c r="K16" s="712"/>
    </row>
    <row r="17" spans="1:21" x14ac:dyDescent="0.25">
      <c r="C17" s="386">
        <v>30</v>
      </c>
      <c r="D17" s="387"/>
      <c r="E17" s="387"/>
      <c r="F17" s="388"/>
      <c r="G17" s="386" t="s">
        <v>108</v>
      </c>
      <c r="H17" s="387"/>
      <c r="I17" s="387"/>
      <c r="J17" s="323" t="s">
        <v>109</v>
      </c>
      <c r="K17" s="324" t="s">
        <v>110</v>
      </c>
    </row>
    <row r="18" spans="1:21" ht="15.75" thickBot="1" x14ac:dyDescent="0.3">
      <c r="C18" s="176" t="s">
        <v>11</v>
      </c>
      <c r="D18" s="584" t="s">
        <v>111</v>
      </c>
      <c r="E18" s="584"/>
      <c r="F18" s="658"/>
      <c r="G18" s="389" t="s">
        <v>112</v>
      </c>
      <c r="H18" s="390"/>
      <c r="I18" s="390"/>
      <c r="J18" s="317" t="s">
        <v>112</v>
      </c>
      <c r="K18" s="326" t="s">
        <v>112</v>
      </c>
    </row>
    <row r="19" spans="1:21" ht="30" customHeight="1" x14ac:dyDescent="0.25">
      <c r="C19" s="741"/>
      <c r="D19" s="742"/>
      <c r="E19" s="742"/>
      <c r="F19" s="743"/>
      <c r="G19" s="675" t="str">
        <f>template_label_has_the_undertaking_has_established_ghg_emission_reduction_targets</f>
        <v>Has  the undertaking has established GHG emission reduction targets?</v>
      </c>
      <c r="H19" s="675"/>
      <c r="I19" s="675"/>
      <c r="J19" s="138" t="b">
        <v>1</v>
      </c>
      <c r="K19" s="71"/>
    </row>
    <row r="20" spans="1:21" ht="30" x14ac:dyDescent="0.25">
      <c r="C20" s="72"/>
      <c r="D20" s="747" t="str">
        <f>template_label_current_reporting_period</f>
        <v>Current Reporting Period</v>
      </c>
      <c r="E20" s="747"/>
      <c r="F20" s="748"/>
      <c r="G20" s="812" t="str">
        <f>template_label_base_year</f>
        <v>Base Year</v>
      </c>
      <c r="H20" s="747"/>
      <c r="I20" s="747"/>
      <c r="J20" s="4" t="str">
        <f>template_label_target_year</f>
        <v>Target Year</v>
      </c>
      <c r="K20" s="20" t="str">
        <f>template_label_percentage_reduction_from_base_year</f>
        <v>Percentage reduction from base year</v>
      </c>
    </row>
    <row r="21" spans="1:21" x14ac:dyDescent="0.25">
      <c r="A21" s="651" t="str">
        <f>template_label_GHG_calculator</f>
        <v>ℹ️ Check EFRAG website for a non-exhaustive list of GHG calculators.</v>
      </c>
      <c r="B21" s="652"/>
      <c r="C21" s="21" t="str">
        <f>template_label_year_date</f>
        <v>Year (date)</v>
      </c>
      <c r="D21" s="749" t="str">
        <f>IF('General Information'!$D$9="", "-", 'General Information'!$D$9) &amp; "  -  " &amp; IF('General Information'!$D$13="", "-", 'General Information'!$D$13)</f>
        <v>2025-01-01  -  2025-12-31</v>
      </c>
      <c r="E21" s="749"/>
      <c r="F21" s="750"/>
      <c r="G21" s="813">
        <v>2023</v>
      </c>
      <c r="H21" s="814"/>
      <c r="I21" s="814"/>
      <c r="J21" s="110">
        <v>2030</v>
      </c>
      <c r="K21" s="74"/>
      <c r="L21" s="13" t="str">
        <f>IF(AND(J19=TRUE, G21&lt;&gt;"", J21&lt;&gt;""), template_label_ok,
IF(AND(J19=TRUE, G21="", J21=""), template_label_missing_value,
IF(AND(J19=FALSE, G21="", J21=""), "",
IF(AND(J19=TRUE, OR(G21="", J21="")), template_label_missing_value, ""))))</f>
        <v>OK</v>
      </c>
    </row>
    <row r="22" spans="1:21" x14ac:dyDescent="0.25">
      <c r="A22" s="651"/>
      <c r="B22" s="652"/>
      <c r="C22" s="2" t="str">
        <f>template_label_gross_scope_1_ghg_emissions</f>
        <v>Gross Scope 1 GHG Emissions</v>
      </c>
      <c r="D22" s="708">
        <v>244</v>
      </c>
      <c r="E22" s="708"/>
      <c r="F22" s="709"/>
      <c r="G22" s="724">
        <v>0</v>
      </c>
      <c r="H22" s="815"/>
      <c r="I22" s="815"/>
      <c r="J22" s="184">
        <v>0</v>
      </c>
      <c r="K22" s="75" t="str">
        <f>IF(AND(G22="", J22=""), "-", IFERROR(-(1 - (J22 / G22)), "-"))</f>
        <v>-</v>
      </c>
      <c r="L22" s="13" t="str">
        <f>IF(AND(OR(BasisForPreparation="Option A (Basic Module Only)", BasisForPreparation="Option B (Basic Module and Comprehensive Module)"), D22="", J19=FALSE), template_label_missing_value,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f>
        <v>OK</v>
      </c>
    </row>
    <row r="23" spans="1:21" x14ac:dyDescent="0.25">
      <c r="A23" s="651"/>
      <c r="B23" s="652"/>
      <c r="C23" s="2" t="str">
        <f>template_label_gross_scope_2_location_based_ghg_emissions</f>
        <v>Gross Scope 2 location-based GHG Emissions</v>
      </c>
      <c r="D23" s="694">
        <v>325</v>
      </c>
      <c r="E23" s="695"/>
      <c r="F23" s="696"/>
      <c r="G23" s="724">
        <v>128</v>
      </c>
      <c r="H23" s="815"/>
      <c r="I23" s="815"/>
      <c r="J23" s="184">
        <v>74.240000000000009</v>
      </c>
      <c r="K23" s="75">
        <f t="shared" ref="K23:K26" si="0">IF(AND(G23="", J23=""), "-", IFERROR(-(1 - (J23 / G23)), "-"))</f>
        <v>-0.41999999999999993</v>
      </c>
      <c r="L23" s="13" t="str">
        <f>IF(AND(OR(BasisForPreparation="Option A (Basic Module Only)", BasisForPreparation="Option B (Basic Module and Comprehensive Module)"), D23="", J19=FALSE), template_label_missing_value,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f>
        <v>OK</v>
      </c>
    </row>
    <row r="24" spans="1:21" x14ac:dyDescent="0.25">
      <c r="A24" s="651"/>
      <c r="B24" s="652"/>
      <c r="C24" s="2" t="str">
        <f>template_label_gross_scope_2_market_based_ghg_emissions &amp; " - " &amp; template_label_may_not_headline</f>
        <v>Gross scope 2 market-based GHG Emissions - May (optional)</v>
      </c>
      <c r="D24" s="708">
        <v>325</v>
      </c>
      <c r="E24" s="708"/>
      <c r="F24" s="709"/>
      <c r="G24" s="724">
        <v>128</v>
      </c>
      <c r="H24" s="815"/>
      <c r="I24" s="815"/>
      <c r="J24" s="184">
        <v>74.240000000000009</v>
      </c>
      <c r="K24" s="75">
        <f t="shared" si="0"/>
        <v>-0.41999999999999993</v>
      </c>
      <c r="L24" s="13" t="str">
        <f>IF(D24&lt;&gt;"",
    IF(AND(G24="", J24=""), template_label_ok,
       IF(AND(G24&lt;&gt;"", J24=""), template_label_missing_value, template_label_ok)
    ),
"")</f>
        <v>OK</v>
      </c>
    </row>
    <row r="25" spans="1:21" x14ac:dyDescent="0.25">
      <c r="A25" s="651"/>
      <c r="B25" s="652"/>
      <c r="C25" s="10" t="str">
        <f>template_label_total_scope_1_and_scope_2_ghg_emissions_location_based</f>
        <v>Total Scope 1 and Scope 2 GHG Emissions (location-based)</v>
      </c>
      <c r="D25" s="822">
        <f>IF(AND(D22="",D23=""),"-",SUM(D22,D23))</f>
        <v>569</v>
      </c>
      <c r="E25" s="822"/>
      <c r="F25" s="826"/>
      <c r="G25" s="821">
        <f>IF(AND(G22="",G23=""),"-",SUM(G22,G23))</f>
        <v>128</v>
      </c>
      <c r="H25" s="822"/>
      <c r="I25" s="822"/>
      <c r="J25" s="187">
        <f>IF(AND(J22="",J23=""),"-",SUM(J22,J23))</f>
        <v>74.240000000000009</v>
      </c>
      <c r="K25" s="75">
        <f t="shared" si="0"/>
        <v>-0.41999999999999993</v>
      </c>
    </row>
    <row r="26" spans="1:21" ht="15.75" thickBot="1" x14ac:dyDescent="0.3">
      <c r="A26" s="651"/>
      <c r="B26" s="652"/>
      <c r="C26" s="3" t="str">
        <f>template_label_total_scope_1_and_scope_2_ghg_emissions_market_based &amp; " - " &amp; template_label_may_not_headline</f>
        <v>Total Scope 1 and Scope 2 GHG emissions  (market-based) - May (optional)</v>
      </c>
      <c r="D26" s="827">
        <f>IF(OR(D22="",D24=""),"-",SUM(D22,D24))</f>
        <v>569</v>
      </c>
      <c r="E26" s="823"/>
      <c r="F26" s="828"/>
      <c r="G26" s="823">
        <f>IF(OR(G22="",G24=""),"-",SUM(G22,G24))</f>
        <v>128</v>
      </c>
      <c r="H26" s="823"/>
      <c r="I26" s="824"/>
      <c r="J26" s="188">
        <f>IF(OR(J22="",J24=""),"-",SUM(J22,J24))</f>
        <v>74.240000000000009</v>
      </c>
      <c r="K26" s="75">
        <f t="shared" si="0"/>
        <v>-0.41999999999999993</v>
      </c>
    </row>
    <row r="27" spans="1:21" x14ac:dyDescent="0.25">
      <c r="C27" s="829" t="s">
        <v>113</v>
      </c>
      <c r="D27" s="816"/>
      <c r="E27" s="816"/>
      <c r="F27" s="816"/>
      <c r="G27" s="816">
        <v>54</v>
      </c>
      <c r="H27" s="816"/>
      <c r="I27" s="816"/>
      <c r="J27" s="816"/>
      <c r="K27" s="76"/>
    </row>
    <row r="28" spans="1:21" ht="15.75" thickBot="1" x14ac:dyDescent="0.3">
      <c r="C28" s="176" t="s">
        <v>11</v>
      </c>
      <c r="D28" s="584" t="s">
        <v>114</v>
      </c>
      <c r="E28" s="584"/>
      <c r="F28" s="584"/>
      <c r="G28" s="820" t="s">
        <v>11</v>
      </c>
      <c r="H28" s="820"/>
      <c r="I28" s="820"/>
      <c r="J28" s="177" t="s">
        <v>11</v>
      </c>
      <c r="K28" s="77"/>
    </row>
    <row r="29" spans="1:21" ht="22.35" customHeight="1" x14ac:dyDescent="0.25">
      <c r="C29" s="744" t="str">
        <f>template_label_is_the_undertaking_disclosing_entity_specific_information_on_scope_3_emissions</f>
        <v>Is the undertaking disclosing entity-specific information on Scope 3 emissions (in tCO2e)?</v>
      </c>
      <c r="D29" s="745"/>
      <c r="E29" s="745"/>
      <c r="F29" s="746"/>
      <c r="G29" s="817" t="b">
        <v>1</v>
      </c>
      <c r="H29" s="818"/>
      <c r="I29" s="818"/>
      <c r="J29" s="818"/>
      <c r="K29" s="819"/>
    </row>
    <row r="30" spans="1:21" ht="14.45" customHeight="1" x14ac:dyDescent="0.25">
      <c r="C30" s="67" t="str">
        <f>template_label_1_purchased_goods_and_services</f>
        <v>1. Purchased Goods and Services</v>
      </c>
      <c r="D30" s="684">
        <v>51467</v>
      </c>
      <c r="E30" s="685"/>
      <c r="F30" s="693"/>
      <c r="G30" s="670">
        <v>58131</v>
      </c>
      <c r="H30" s="671"/>
      <c r="I30" s="671"/>
      <c r="J30" s="189">
        <v>146034</v>
      </c>
      <c r="K30" s="216">
        <f>IF(OR(G30="", J30=""), "-", IFERROR(-(1 - (J30 / G30)), "-"))</f>
        <v>1.5121535841461529</v>
      </c>
      <c r="L30" s="672" t="str" cm="1">
        <f t="array" ref="L30">IF(
   OR(
      SUMPRODUCT((G30:G44&lt;&gt;"")*(J30:J44="")) &gt; 0,
      SUMPRODUCT((J30:J44&lt;&gt;"")*(G30:G44="")) &gt; 0
   ),
   template_label_missing_value,
   IF(
      AND(G29=TRUE, COUNTA(D30:F44)=0),
      template_label_missing_value,
      IF(G29=FALSE, "", template_label_ok)
   )
)</f>
        <v>OK</v>
      </c>
      <c r="M30" s="653" t="str">
        <f>template_label_scope_3_categories_warning</f>
        <v>ℹ️  Scope 3 categories according to the GHG protocol might help to calculate the total Scope 3 GHG emissions. In case the undertaking wants to, it can directly provide the Total Scope 3 GHG emissions in the respective cell.</v>
      </c>
      <c r="N30" s="653"/>
      <c r="O30" s="653"/>
      <c r="P30" s="653"/>
      <c r="Q30" s="653"/>
      <c r="R30" s="653"/>
      <c r="S30" s="653"/>
      <c r="T30" s="653"/>
      <c r="U30" s="653"/>
    </row>
    <row r="31" spans="1:21" x14ac:dyDescent="0.25">
      <c r="C31" s="67" t="str">
        <f>template_label_2_capital_goods</f>
        <v>2. Capital Goods</v>
      </c>
      <c r="D31" s="684">
        <v>957</v>
      </c>
      <c r="E31" s="685"/>
      <c r="F31" s="693"/>
      <c r="G31" s="670">
        <v>535</v>
      </c>
      <c r="H31" s="671"/>
      <c r="I31" s="671"/>
      <c r="J31" s="189">
        <v>2902.9401408450703</v>
      </c>
      <c r="K31" s="216">
        <f t="shared" ref="K31:K44" si="1">IF(OR(G31="", J31=""), "-", IFERROR(-(1 - (J31 / G31)), "-"))</f>
        <v>4.426056338028169</v>
      </c>
      <c r="L31" s="672"/>
      <c r="M31" s="653"/>
      <c r="N31" s="653"/>
      <c r="O31" s="653"/>
      <c r="P31" s="653"/>
      <c r="Q31" s="653"/>
      <c r="R31" s="653"/>
      <c r="S31" s="653"/>
      <c r="T31" s="653"/>
      <c r="U31" s="653"/>
    </row>
    <row r="32" spans="1:21" x14ac:dyDescent="0.25">
      <c r="C32" s="67" t="str">
        <f>template_label_3_fuel__and_energy_related_activities</f>
        <v>3. Fuel- and Energy-Related Activities (Not Included in Scope 1 or Scope 2)</v>
      </c>
      <c r="D32" s="684" t="s">
        <v>115</v>
      </c>
      <c r="E32" s="685"/>
      <c r="F32" s="693"/>
      <c r="G32" s="670">
        <v>0</v>
      </c>
      <c r="H32" s="671"/>
      <c r="I32" s="671"/>
      <c r="J32" s="189">
        <v>0</v>
      </c>
      <c r="K32" s="216" t="str">
        <f t="shared" si="1"/>
        <v>-</v>
      </c>
      <c r="L32" s="672"/>
      <c r="M32" s="653"/>
      <c r="N32" s="653"/>
      <c r="O32" s="653"/>
      <c r="P32" s="653"/>
      <c r="Q32" s="653"/>
      <c r="R32" s="653"/>
      <c r="S32" s="653"/>
      <c r="T32" s="653"/>
      <c r="U32" s="653"/>
    </row>
    <row r="33" spans="3:21" x14ac:dyDescent="0.25">
      <c r="C33" s="67" t="str">
        <f>template_label_4_upstream_transportation_and_distribution</f>
        <v>4. Upstream Transportation and Distribution</v>
      </c>
      <c r="D33" s="684">
        <v>3048</v>
      </c>
      <c r="E33" s="685"/>
      <c r="F33" s="693"/>
      <c r="G33" s="670">
        <v>2677</v>
      </c>
      <c r="H33" s="671"/>
      <c r="I33" s="671"/>
      <c r="J33" s="189">
        <v>48717</v>
      </c>
      <c r="K33" s="216">
        <f t="shared" si="1"/>
        <v>17.198356369069856</v>
      </c>
      <c r="L33" s="672"/>
      <c r="M33" s="653"/>
      <c r="N33" s="653"/>
      <c r="O33" s="653"/>
      <c r="P33" s="653"/>
      <c r="Q33" s="653"/>
      <c r="R33" s="653"/>
      <c r="S33" s="653"/>
      <c r="T33" s="653"/>
      <c r="U33" s="653"/>
    </row>
    <row r="34" spans="3:21" x14ac:dyDescent="0.25">
      <c r="C34" s="67" t="str">
        <f>template_label_5_waste_generated_in_operations</f>
        <v>5. Waste Generated in Operations</v>
      </c>
      <c r="D34" s="684">
        <v>261</v>
      </c>
      <c r="E34" s="685"/>
      <c r="F34" s="693"/>
      <c r="G34" s="670">
        <v>67</v>
      </c>
      <c r="H34" s="671"/>
      <c r="I34" s="671"/>
      <c r="J34" s="189">
        <v>363.5457746478873</v>
      </c>
      <c r="K34" s="216">
        <f t="shared" si="1"/>
        <v>4.426056338028169</v>
      </c>
      <c r="L34" s="672"/>
      <c r="M34" s="653"/>
      <c r="N34" s="653"/>
      <c r="O34" s="653"/>
      <c r="P34" s="653"/>
      <c r="Q34" s="653"/>
      <c r="R34" s="653"/>
      <c r="S34" s="653"/>
      <c r="T34" s="653"/>
      <c r="U34" s="653"/>
    </row>
    <row r="35" spans="3:21" x14ac:dyDescent="0.25">
      <c r="C35" s="67" t="str">
        <f>template_label_6_business_travel</f>
        <v>6. Business Travel</v>
      </c>
      <c r="D35" s="684">
        <v>1637</v>
      </c>
      <c r="E35" s="685"/>
      <c r="F35" s="693"/>
      <c r="G35" s="670">
        <v>1884</v>
      </c>
      <c r="H35" s="671"/>
      <c r="I35" s="671"/>
      <c r="J35" s="189">
        <v>10222.69014084507</v>
      </c>
      <c r="K35" s="216">
        <f t="shared" si="1"/>
        <v>4.426056338028169</v>
      </c>
      <c r="L35" s="672"/>
      <c r="M35" s="653"/>
      <c r="N35" s="653"/>
      <c r="O35" s="653"/>
      <c r="P35" s="653"/>
      <c r="Q35" s="653"/>
      <c r="R35" s="653"/>
      <c r="S35" s="653"/>
      <c r="T35" s="653"/>
      <c r="U35" s="653"/>
    </row>
    <row r="36" spans="3:21" x14ac:dyDescent="0.25">
      <c r="C36" s="67" t="str">
        <f>template_label_7_employee_commuting</f>
        <v>7. Employee Commuting</v>
      </c>
      <c r="D36" s="684">
        <v>1547</v>
      </c>
      <c r="E36" s="685"/>
      <c r="F36" s="693"/>
      <c r="G36" s="670">
        <v>453</v>
      </c>
      <c r="H36" s="671"/>
      <c r="I36" s="671"/>
      <c r="J36" s="189">
        <v>2458.0035211267605</v>
      </c>
      <c r="K36" s="216">
        <f t="shared" si="1"/>
        <v>4.426056338028169</v>
      </c>
      <c r="L36" s="672"/>
      <c r="M36" s="653"/>
      <c r="N36" s="653"/>
      <c r="O36" s="653"/>
      <c r="P36" s="653"/>
      <c r="Q36" s="653"/>
      <c r="R36" s="653"/>
      <c r="S36" s="653"/>
      <c r="T36" s="653"/>
      <c r="U36" s="653"/>
    </row>
    <row r="37" spans="3:21" x14ac:dyDescent="0.25">
      <c r="C37" s="67" t="str">
        <f>template_label_8_upstream_leased_assets</f>
        <v>8. Upstream Leased Assets</v>
      </c>
      <c r="D37" s="684" t="s">
        <v>115</v>
      </c>
      <c r="E37" s="685"/>
      <c r="F37" s="693"/>
      <c r="G37" s="670">
        <v>0</v>
      </c>
      <c r="H37" s="671"/>
      <c r="I37" s="671"/>
      <c r="J37" s="189">
        <v>0</v>
      </c>
      <c r="K37" s="216" t="str">
        <f t="shared" si="1"/>
        <v>-</v>
      </c>
      <c r="L37" s="672"/>
      <c r="M37" s="653"/>
      <c r="N37" s="653"/>
      <c r="O37" s="653"/>
      <c r="P37" s="653"/>
      <c r="Q37" s="653"/>
      <c r="R37" s="653"/>
      <c r="S37" s="653"/>
      <c r="T37" s="653"/>
      <c r="U37" s="653"/>
    </row>
    <row r="38" spans="3:21" x14ac:dyDescent="0.25">
      <c r="C38" s="67" t="str">
        <f>template_label_9_downstream_transportation_and_distribution</f>
        <v>9. Downstream Transportation and Distribution</v>
      </c>
      <c r="D38" s="684" t="s">
        <v>115</v>
      </c>
      <c r="E38" s="685"/>
      <c r="F38" s="693"/>
      <c r="G38" s="670">
        <v>0</v>
      </c>
      <c r="H38" s="671"/>
      <c r="I38" s="671"/>
      <c r="J38" s="189">
        <v>0</v>
      </c>
      <c r="K38" s="216" t="str">
        <f t="shared" si="1"/>
        <v>-</v>
      </c>
      <c r="L38" s="672"/>
      <c r="M38" s="653"/>
      <c r="N38" s="653"/>
      <c r="O38" s="653"/>
      <c r="P38" s="653"/>
      <c r="Q38" s="653"/>
      <c r="R38" s="653"/>
      <c r="S38" s="653"/>
      <c r="T38" s="653"/>
      <c r="U38" s="653"/>
    </row>
    <row r="39" spans="3:21" x14ac:dyDescent="0.25">
      <c r="C39" s="67" t="str">
        <f>template_label_10_processing_of_sold_products</f>
        <v>10. Processing of Sold Products</v>
      </c>
      <c r="D39" s="684" t="s">
        <v>115</v>
      </c>
      <c r="E39" s="685"/>
      <c r="F39" s="693"/>
      <c r="G39" s="670">
        <v>0</v>
      </c>
      <c r="H39" s="671"/>
      <c r="I39" s="671"/>
      <c r="J39" s="189">
        <v>0</v>
      </c>
      <c r="K39" s="216" t="str">
        <f t="shared" si="1"/>
        <v>-</v>
      </c>
      <c r="L39" s="672"/>
      <c r="M39" s="653"/>
      <c r="N39" s="653"/>
      <c r="O39" s="653"/>
      <c r="P39" s="653"/>
      <c r="Q39" s="653"/>
      <c r="R39" s="653"/>
      <c r="S39" s="653"/>
      <c r="T39" s="653"/>
      <c r="U39" s="653"/>
    </row>
    <row r="40" spans="3:21" x14ac:dyDescent="0.25">
      <c r="C40" s="67" t="str">
        <f>template_label_11_use_of_sold_products</f>
        <v>11. Use of Sold Products</v>
      </c>
      <c r="D40" s="684">
        <v>30440</v>
      </c>
      <c r="E40" s="685"/>
      <c r="F40" s="693"/>
      <c r="G40" s="670">
        <v>13054</v>
      </c>
      <c r="H40" s="671"/>
      <c r="I40" s="671"/>
      <c r="J40" s="189">
        <v>67345</v>
      </c>
      <c r="K40" s="216">
        <f t="shared" si="1"/>
        <v>4.1589551095449675</v>
      </c>
      <c r="L40" s="672"/>
      <c r="M40" s="653"/>
      <c r="N40" s="653"/>
      <c r="O40" s="653"/>
      <c r="P40" s="653"/>
      <c r="Q40" s="653"/>
      <c r="R40" s="653"/>
      <c r="S40" s="653"/>
      <c r="T40" s="653"/>
      <c r="U40" s="653"/>
    </row>
    <row r="41" spans="3:21" x14ac:dyDescent="0.25">
      <c r="C41" s="67" t="str">
        <f>template_label_12_end_of_life_treatment_of_sold_products</f>
        <v>12. End-of-Life Treatment of Sold Products</v>
      </c>
      <c r="D41" s="684">
        <v>7419</v>
      </c>
      <c r="E41" s="685"/>
      <c r="F41" s="693"/>
      <c r="G41" s="670">
        <v>6850</v>
      </c>
      <c r="H41" s="671"/>
      <c r="I41" s="671"/>
      <c r="J41" s="189">
        <v>53006</v>
      </c>
      <c r="K41" s="216">
        <f t="shared" si="1"/>
        <v>6.7381021897810216</v>
      </c>
      <c r="L41" s="672"/>
      <c r="M41" s="653"/>
      <c r="N41" s="653"/>
      <c r="O41" s="653"/>
      <c r="P41" s="653"/>
      <c r="Q41" s="653"/>
      <c r="R41" s="653"/>
      <c r="S41" s="653"/>
      <c r="T41" s="653"/>
      <c r="U41" s="653"/>
    </row>
    <row r="42" spans="3:21" x14ac:dyDescent="0.25">
      <c r="C42" s="67" t="str">
        <f>template_label_13_downstream_leased_assets</f>
        <v>13. Downstream Leased Assets</v>
      </c>
      <c r="D42" s="684" t="s">
        <v>115</v>
      </c>
      <c r="E42" s="685"/>
      <c r="F42" s="693"/>
      <c r="G42" s="670" t="s">
        <v>116</v>
      </c>
      <c r="H42" s="671"/>
      <c r="I42" s="671"/>
      <c r="J42" s="189" t="s">
        <v>116</v>
      </c>
      <c r="K42" s="216" t="str">
        <f t="shared" si="1"/>
        <v>-</v>
      </c>
      <c r="L42" s="672"/>
      <c r="M42" s="653"/>
      <c r="N42" s="653"/>
      <c r="O42" s="653"/>
      <c r="P42" s="653"/>
      <c r="Q42" s="653"/>
      <c r="R42" s="653"/>
      <c r="S42" s="653"/>
      <c r="T42" s="653"/>
      <c r="U42" s="653"/>
    </row>
    <row r="43" spans="3:21" x14ac:dyDescent="0.25">
      <c r="C43" s="67" t="str">
        <f>template_label_14_franchises</f>
        <v>14. Franchises</v>
      </c>
      <c r="D43" s="684" t="s">
        <v>115</v>
      </c>
      <c r="E43" s="685"/>
      <c r="F43" s="693"/>
      <c r="G43" s="670" t="s">
        <v>116</v>
      </c>
      <c r="H43" s="671"/>
      <c r="I43" s="671"/>
      <c r="J43" s="189" t="s">
        <v>116</v>
      </c>
      <c r="K43" s="216" t="str">
        <f t="shared" si="1"/>
        <v>-</v>
      </c>
      <c r="L43" s="672"/>
      <c r="M43" s="653"/>
      <c r="N43" s="653"/>
      <c r="O43" s="653"/>
      <c r="P43" s="653"/>
      <c r="Q43" s="653"/>
      <c r="R43" s="653"/>
      <c r="S43" s="653"/>
      <c r="T43" s="653"/>
      <c r="U43" s="653"/>
    </row>
    <row r="44" spans="3:21" x14ac:dyDescent="0.25">
      <c r="C44" s="67" t="str">
        <f>template_label_15_investments</f>
        <v>15. Investments</v>
      </c>
      <c r="D44" s="684" t="s">
        <v>115</v>
      </c>
      <c r="E44" s="685"/>
      <c r="F44" s="693"/>
      <c r="G44" s="670" t="s">
        <v>116</v>
      </c>
      <c r="H44" s="671"/>
      <c r="I44" s="671"/>
      <c r="J44" s="189" t="s">
        <v>116</v>
      </c>
      <c r="K44" s="216" t="str">
        <f t="shared" si="1"/>
        <v>-</v>
      </c>
      <c r="L44" s="672"/>
      <c r="M44" s="653"/>
      <c r="N44" s="653"/>
      <c r="O44" s="653"/>
      <c r="P44" s="653"/>
      <c r="Q44" s="653"/>
      <c r="R44" s="653"/>
      <c r="S44" s="653"/>
      <c r="T44" s="653"/>
      <c r="U44" s="653"/>
    </row>
    <row r="45" spans="3:21" ht="15.75" thickBot="1" x14ac:dyDescent="0.3">
      <c r="C45" s="78" t="str">
        <f>template_label_total_scope_3_ghg_emissions</f>
        <v>Total Scope 3 GHG  emissions</v>
      </c>
      <c r="D45" s="674">
        <f>IF(AND(G29=FALSE, COUNTA(D30:F44)=0), "-", IF(G29=TRUE, IF(SUM(D30:F44)=0, "-", SUM(D30:F44)), "-"))</f>
        <v>96776</v>
      </c>
      <c r="E45" s="674"/>
      <c r="F45" s="825"/>
      <c r="G45" s="673">
        <f>IF(AND(G29=FALSE, COUNTA(G30:I44)=0), "-", IF(G29=TRUE, IF(SUM(G30:I44)=0, "-", SUM(G30:I44)), "-"))</f>
        <v>83651</v>
      </c>
      <c r="H45" s="674"/>
      <c r="I45" s="674"/>
      <c r="J45" s="190">
        <f>IF(AND(G29=FALSE, COUNTA(J30:J44)=0), "-", IF(G29=TRUE, IF(SUM(J30:J44)=0, "-", SUM(J30:J44)), "-"))</f>
        <v>331049.17957746482</v>
      </c>
      <c r="K45" s="153">
        <f t="shared" ref="K45:K47" si="2">IF(AND(G45="", J45=""), "-", IFERROR(-(1 - (J45 / G45)), "-"))</f>
        <v>2.9575041491131584</v>
      </c>
      <c r="L45" s="13"/>
      <c r="M45" s="653"/>
      <c r="N45" s="653"/>
      <c r="O45" s="653"/>
      <c r="P45" s="653"/>
      <c r="Q45" s="653"/>
      <c r="R45" s="653"/>
      <c r="S45" s="653"/>
      <c r="T45" s="653"/>
      <c r="U45" s="653"/>
    </row>
    <row r="46" spans="3:21" x14ac:dyDescent="0.25">
      <c r="C46" s="10" t="str">
        <f>template_label_total_scope_1_scope_2_and_scope_3_ghg_emissions_location_based</f>
        <v>Total Scope 1 Scope 2 and Scope 3 GHG Emissions (location-based)</v>
      </c>
      <c r="D46" s="822">
        <f>IF(G29=FALSE, "-", IF(AND(D22="", D23="", D45=""), "-", IF(SUM(D22, D23, D45)=0, "-", SUM(D22, D23, D45))))</f>
        <v>97345</v>
      </c>
      <c r="E46" s="822"/>
      <c r="F46" s="826"/>
      <c r="G46" s="842">
        <f>IF(G29=FALSE, "-", IF(AND(G22="", G23="", G45=""), "-", IF(SUM(G22, G23, G45)=0, "-", SUM(G22, G23, G45))))</f>
        <v>83779</v>
      </c>
      <c r="H46" s="822"/>
      <c r="I46" s="822"/>
      <c r="J46" s="186">
        <f>IF(G29=FALSE, "-", IF(AND(J22="", J23="", J45=""), "-", IF(SUM(J22, J23, J45)=0, "-", SUM(J22, J23, J45))))</f>
        <v>331123.41957746481</v>
      </c>
      <c r="K46" s="154">
        <f t="shared" si="2"/>
        <v>2.952343899753695</v>
      </c>
      <c r="M46" s="330"/>
      <c r="N46" s="330"/>
      <c r="O46" s="330"/>
      <c r="P46" s="330"/>
      <c r="Q46" s="330"/>
      <c r="R46" s="330"/>
      <c r="S46" s="330"/>
      <c r="T46" s="330"/>
    </row>
    <row r="47" spans="3:21" ht="15.75" thickBot="1" x14ac:dyDescent="0.3">
      <c r="C47" s="79" t="str">
        <f>template_label_total_scope_1_scope_2_and_scope_3_ghg_emissions_market_based &amp; " - " &amp; template_label_may_not_headline</f>
        <v>Total Scope 1 Scope 2 and Scope 3 GHG Emissions (market-based) - May (optional)</v>
      </c>
      <c r="D47" s="827">
        <f>IF(G29=FALSE,"-",IF(OR(D22="",D24="",D45=""),"-",SUM(D22,D24,D45)))</f>
        <v>97345</v>
      </c>
      <c r="E47" s="823"/>
      <c r="F47" s="828"/>
      <c r="G47" s="843">
        <f>IF(G29=FALSE, "-", IF(OR(G22="", G24="", G45=""), "-", IF(SUM(G22, G24, G45)=0, "-", SUM(G22, G24, G45))))</f>
        <v>83779</v>
      </c>
      <c r="H47" s="823"/>
      <c r="I47" s="824"/>
      <c r="J47" s="188">
        <f>IF(G29=FALSE, "-", IF(OR(J22="", J24="", J45=""), "-", IF(SUM(J22, J24, J45)=0, "-", SUM(J22, J24, J45))))</f>
        <v>331123.41957746481</v>
      </c>
      <c r="K47" s="153">
        <f t="shared" si="2"/>
        <v>2.952343899753695</v>
      </c>
      <c r="M47" s="330"/>
      <c r="N47" s="330"/>
      <c r="O47" s="330"/>
      <c r="P47" s="330"/>
      <c r="Q47" s="330"/>
      <c r="R47" s="330"/>
      <c r="S47" s="330"/>
      <c r="T47" s="330"/>
    </row>
    <row r="48" spans="3:21" ht="15.75" thickBot="1" x14ac:dyDescent="0.3">
      <c r="C48" s="80"/>
      <c r="D48" s="80"/>
      <c r="E48" s="80"/>
      <c r="F48" s="80"/>
      <c r="G48" s="80"/>
      <c r="H48" s="80"/>
      <c r="I48" s="80"/>
      <c r="J48" s="80"/>
      <c r="K48" s="80"/>
    </row>
    <row r="49" spans="1:12" x14ac:dyDescent="0.25">
      <c r="C49" s="703" t="str">
        <f>template_label_c3_disclosure_of_list_of_main_actions_the_entity_seeks_in_order_to_achieve_its_targets&amp;" "&amp;template_label_from&amp;" "&amp;template_starting_date_display&amp;" "&amp;template_label_to&amp;" "&amp;template_ending_date_display&amp;" "&amp;template_label_if_applicable</f>
        <v>C3 - Disclosure of list of main actions the entity seeks in order to achieve its targets from 2025-01-01 to 2025-12-31 [If applicable]</v>
      </c>
      <c r="D49" s="703"/>
      <c r="E49" s="703"/>
      <c r="F49" s="703"/>
      <c r="G49" s="703"/>
      <c r="H49" s="703"/>
      <c r="I49" s="703"/>
      <c r="J49" s="703"/>
      <c r="K49" s="838"/>
      <c r="L49" s="5"/>
    </row>
    <row r="50" spans="1:12" x14ac:dyDescent="0.25">
      <c r="C50" s="353" t="s">
        <v>117</v>
      </c>
      <c r="D50" s="353"/>
      <c r="E50" s="353"/>
      <c r="F50" s="353"/>
      <c r="G50" s="353"/>
      <c r="H50" s="353"/>
      <c r="I50" s="353"/>
      <c r="J50" s="353"/>
      <c r="K50" s="837"/>
    </row>
    <row r="51" spans="1:12" x14ac:dyDescent="0.25">
      <c r="C51" s="697">
        <v>159</v>
      </c>
      <c r="D51" s="697"/>
      <c r="E51" s="697"/>
      <c r="F51" s="697"/>
      <c r="G51" s="697"/>
      <c r="H51" s="697"/>
      <c r="I51" s="697"/>
      <c r="J51" s="697"/>
      <c r="K51" s="697"/>
      <c r="L51" s="5"/>
    </row>
    <row r="52" spans="1:12" ht="15.75" thickBot="1" x14ac:dyDescent="0.3">
      <c r="C52" s="835" t="s">
        <v>118</v>
      </c>
      <c r="D52" s="835"/>
      <c r="E52" s="835"/>
      <c r="F52" s="835"/>
      <c r="G52" s="835"/>
      <c r="H52" s="835"/>
      <c r="I52" s="835"/>
      <c r="J52" s="835"/>
      <c r="K52" s="836"/>
      <c r="L52" s="70" t="str">
        <f>IF(AND(J19=TRUE, C52&lt;&gt;""), template_label_ok, IF(AND(J19=TRUE, C52=""), template_label_missing_value, ""))</f>
        <v>OK</v>
      </c>
    </row>
    <row r="54" spans="1:12" ht="15.75" thickBot="1" x14ac:dyDescent="0.3">
      <c r="C54" s="6"/>
      <c r="D54" s="6"/>
      <c r="E54" s="6"/>
      <c r="F54" s="6"/>
      <c r="G54" s="6"/>
      <c r="H54" s="6"/>
      <c r="I54" s="6"/>
      <c r="J54" s="6"/>
      <c r="K54" s="6"/>
    </row>
    <row r="55" spans="1:12" x14ac:dyDescent="0.25">
      <c r="C55" s="703" t="str">
        <f>template_label_c3_transition_plan_for_undertakings_operating_in_high_climate_impact_sectors&amp;" "&amp;template_label_from&amp;" "&amp;template_starting_date_display&amp;" "&amp;template_label_to&amp;" "&amp;template_ending_date_display&amp;" "&amp; template_label_if_applicable</f>
        <v>C3 - Transition plan for undertakings operating in high climate impact sectors from 2025-01-01 to 2025-12-31 [If applicable]</v>
      </c>
      <c r="D55" s="703"/>
      <c r="E55" s="703"/>
      <c r="F55" s="703"/>
      <c r="G55" s="703"/>
      <c r="H55" s="703"/>
      <c r="I55" s="703"/>
      <c r="J55" s="703"/>
      <c r="K55" s="704"/>
    </row>
    <row r="56" spans="1:12" ht="38.450000000000003" customHeight="1" x14ac:dyDescent="0.25">
      <c r="A56" s="317">
        <v>55</v>
      </c>
      <c r="B56" s="320" t="s">
        <v>119</v>
      </c>
      <c r="C56" s="67" t="str">
        <f>template_label_is_the_undertaking_operating_in_high_impact_sectors</f>
        <v>Is the undertaking operating in high impact sectors?</v>
      </c>
      <c r="D56" s="849" t="b">
        <f>OR(
  ISNUMBER(MATCH('General Information'!E45, 'Enumeration Lists'!D3:D677, 0)),
  ISNUMBER(MATCH('General Information'!E46, 'Enumeration Lists'!D3:D677, 0)),
  ISNUMBER(MATCH('General Information'!E47, 'Enumeration Lists'!D3:D677, 0)),
  ISNUMBER(MATCH('General Information'!E48, 'Enumeration Lists'!D3:D677, 0)),
  ISNUMBER(MATCH('General Information'!E49, 'Enumeration Lists'!D3:D677, 0)),
  ISNUMBER(MATCH('General Information'!E45, 'Enumeration Lists'!D782:D791, 0)),
  ISNUMBER(MATCH('General Information'!E46, 'Enumeration Lists'!D782:D791, 0)),
  ISNUMBER(MATCH('General Information'!E47, 'Enumeration Lists'!D782:D791, 0)),
  ISNUMBER(MATCH('General Information'!E48, 'Enumeration Lists'!D782:D791, 0)),
  ISNUMBER(MATCH('General Information'!E49, 'Enumeration Lists'!D782:D791, 0))
)</f>
        <v>1</v>
      </c>
      <c r="E56" s="850"/>
      <c r="F56" s="850"/>
      <c r="G56" s="850"/>
      <c r="H56" s="850"/>
      <c r="I56" s="850"/>
      <c r="J56" s="850"/>
      <c r="K56" s="851"/>
      <c r="L56" s="13"/>
    </row>
    <row r="57" spans="1:12" x14ac:dyDescent="0.25">
      <c r="A57" s="317">
        <v>55</v>
      </c>
      <c r="B57" s="320" t="s">
        <v>119</v>
      </c>
      <c r="C57" s="67" t="str">
        <f>template_label_status_of_implementation_of_a_transition_plan_in_relation_to_climate_change_mitigation</f>
        <v>Status of implementation of a transition plan in relation to climate change mitigation</v>
      </c>
      <c r="D57" s="830" t="s">
        <v>120</v>
      </c>
      <c r="E57" s="831"/>
      <c r="F57" s="831"/>
      <c r="G57" s="831"/>
      <c r="H57" s="831"/>
      <c r="I57" s="831"/>
      <c r="J57" s="831"/>
      <c r="K57" s="832"/>
      <c r="L57" s="13" t="str">
        <f>IF(AND(OR(D57="A transition plan has already been adopted", D57="Adoption of a transition plan is planned in the future"), D56=TRUE),
    template_label_ok,
    IF(AND(BasisForPreparation="Option B (Basic Module and Comprehensive Module)", D57="", D56=TRUE),
       template_label_missing_value,
       ""
    )
)</f>
        <v>OK</v>
      </c>
    </row>
    <row r="58" spans="1:12" ht="30" x14ac:dyDescent="0.25">
      <c r="A58" s="317">
        <v>55</v>
      </c>
      <c r="B58" s="320" t="s">
        <v>119</v>
      </c>
      <c r="C58" s="81" t="str">
        <f>template_label_description_of_a_transition_plan_for_climate_change_mitigation &amp; " - " &amp; template_label_may_not_headline</f>
        <v>Description of a transition plan for climate change mitigation including an explanation of how it is contributing to reduce GHG emissions - May (optional)</v>
      </c>
      <c r="D58" s="833" t="s">
        <v>121</v>
      </c>
      <c r="E58" s="833"/>
      <c r="F58" s="833"/>
      <c r="G58" s="833"/>
      <c r="H58" s="833"/>
      <c r="I58" s="833"/>
      <c r="J58" s="833"/>
      <c r="K58" s="834"/>
      <c r="L58" s="13" t="str">
        <f>IF(AND(D57="A transition plan has already been adopted", DescriptionOfATransitionPlanForClimateChangeMitigationIncludingAnExplanationOfHowItIsContributingToReduceGhgEmissions&lt;&gt;""), template_label_ok, "")</f>
        <v>OK</v>
      </c>
    </row>
    <row r="59" spans="1:12" x14ac:dyDescent="0.25">
      <c r="A59" s="655">
        <v>56</v>
      </c>
      <c r="B59" s="658" t="s">
        <v>119</v>
      </c>
      <c r="C59" s="661" t="str">
        <f>template_label_date_of_foreseen_adoption_of_transition_plan_for_undertaking_not_having_adopted_transition_plan_yet</f>
        <v>Date of foreseen adoption of transition plan for undertaking not having adopted transition plan yet</v>
      </c>
      <c r="D59" s="664" t="str">
        <f>template_label_year</f>
        <v>Year</v>
      </c>
      <c r="E59" s="665"/>
      <c r="F59" s="665"/>
      <c r="G59" s="665"/>
      <c r="H59" s="666"/>
      <c r="I59" s="667"/>
      <c r="J59" s="668"/>
      <c r="K59" s="669"/>
      <c r="L59" s="654" t="str">
        <f>IF(AND(D57="A transition plan has already been adopted", OR(I59="", I60="", I61="")),
    "",
    IF(AND(D57="Adoption of a transition plan is planned in the future", OR(I59="", I60="", I61="")),
        template_label_missing_value,
        IF(AND(D57="", OR(I59="", I60="", I61="")),
            "",
            IF(OR(
                AND(I60=2, I61&gt;29),
                AND(I60=2, I61=29, NOT(AND(MOD(I59,4)=0, OR(MOD(I59,100)&lt;&gt;0, MOD(I59,400)=0)))),
                AND(OR(I60=4, I60=6, I60=9, I60=11), I61=31)
            ),
            template_label_error,
            template_label_ok
            )
        )
    )
)</f>
        <v/>
      </c>
    </row>
    <row r="60" spans="1:12" x14ac:dyDescent="0.25">
      <c r="A60" s="656"/>
      <c r="B60" s="659"/>
      <c r="C60" s="662"/>
      <c r="D60" s="664" t="str">
        <f>template_label_month</f>
        <v>Month</v>
      </c>
      <c r="E60" s="665"/>
      <c r="F60" s="665"/>
      <c r="G60" s="665"/>
      <c r="H60" s="666"/>
      <c r="I60" s="667"/>
      <c r="J60" s="668"/>
      <c r="K60" s="669"/>
      <c r="L60" s="654"/>
    </row>
    <row r="61" spans="1:12" x14ac:dyDescent="0.25">
      <c r="A61" s="656"/>
      <c r="B61" s="659"/>
      <c r="C61" s="662"/>
      <c r="D61" s="664" t="str">
        <f>template_label_day</f>
        <v>Day</v>
      </c>
      <c r="E61" s="665"/>
      <c r="F61" s="665"/>
      <c r="G61" s="665"/>
      <c r="H61" s="666"/>
      <c r="I61" s="667"/>
      <c r="J61" s="668"/>
      <c r="K61" s="669"/>
      <c r="L61" s="654"/>
    </row>
    <row r="62" spans="1:12" ht="15.75" thickBot="1" x14ac:dyDescent="0.3">
      <c r="A62" s="657"/>
      <c r="B62" s="660"/>
      <c r="C62" s="663"/>
      <c r="D62" s="847" t="str">
        <f>IF(OR(ISBLANK(I59), ISBLANK(I60), ISBLANK(I61)), "-", I59 &amp; "-" &amp; TEXT(I60, "00") &amp; "-" &amp; TEXT(I61, "00"))</f>
        <v>-</v>
      </c>
      <c r="E62" s="847"/>
      <c r="F62" s="847"/>
      <c r="G62" s="847"/>
      <c r="H62" s="847"/>
      <c r="I62" s="847"/>
      <c r="J62" s="847"/>
      <c r="K62" s="848"/>
      <c r="L62" s="285"/>
    </row>
    <row r="63" spans="1:12" ht="15.75" thickBot="1" x14ac:dyDescent="0.3"/>
    <row r="64" spans="1:12" ht="14.85" customHeight="1" x14ac:dyDescent="0.25">
      <c r="C64" s="350" t="str">
        <f>template_label_b3_greenhouse_gas_emission_intensity_per_turnover&amp;" "&amp;template_label_from&amp;" "&amp;template_starting_date_display&amp;" "&amp;template_label_to&amp;" "&amp;template_ending_date_display&amp;" "&amp;template_label_always_to_be_reported</f>
        <v>B3 - Greenhouse gas emission intensity per turnover (in tCO2e) from 2025-01-01 to 2025-12-31 [Always to be reported]</v>
      </c>
      <c r="D64" s="350"/>
      <c r="E64" s="350"/>
      <c r="F64" s="350"/>
      <c r="G64" s="350"/>
      <c r="H64" s="350"/>
      <c r="I64" s="350"/>
      <c r="J64" s="350"/>
      <c r="K64" s="702"/>
    </row>
    <row r="65" spans="3:12" ht="14.85" customHeight="1" x14ac:dyDescent="0.25">
      <c r="C65" s="497">
        <v>31</v>
      </c>
      <c r="D65" s="497"/>
      <c r="E65" s="497"/>
      <c r="F65" s="497"/>
      <c r="G65" s="497"/>
      <c r="H65" s="497"/>
      <c r="I65" s="497"/>
      <c r="J65" s="497"/>
      <c r="K65" s="701"/>
    </row>
    <row r="66" spans="3:12" x14ac:dyDescent="0.25">
      <c r="C66" s="610" t="str">
        <f>template_label_scope_1_and_scope_2_ghg_emissions_intensity_location_based</f>
        <v>Scope 1 and Scope 2 GHG Emissions intensity (location-based)</v>
      </c>
      <c r="D66" s="611"/>
      <c r="E66" s="611"/>
      <c r="F66" s="611"/>
      <c r="G66" s="699" t="str">
        <f>IF(G29=TRUE,
   "-",
   IFERROR(
      IF(OR(D25="", Turnover=""), "-", D25/Turnover),
      "-"
   )
)</f>
        <v>-</v>
      </c>
      <c r="H66" s="699"/>
      <c r="I66" s="699"/>
      <c r="J66" s="699"/>
      <c r="K66" s="700"/>
    </row>
    <row r="67" spans="3:12" x14ac:dyDescent="0.25">
      <c r="C67" s="661" t="str">
        <f>template_label_scope_1_and_scope_2_ghg_emissions_intensity_market_based &amp; " - " &amp; template_label_may_not_headline</f>
        <v>Scope 1 and Scope 2 GHG Emissions intensity (market-based) - May (optional)</v>
      </c>
      <c r="D67" s="844"/>
      <c r="E67" s="844"/>
      <c r="F67" s="844"/>
      <c r="G67" s="845" t="str">
        <f>IF(G29=TRUE,
   "-",
   IFERROR(
      IF(OR(D26="", Turnover=""), "-", D26/Turnover),
      "-"
   )
)</f>
        <v>-</v>
      </c>
      <c r="H67" s="845"/>
      <c r="I67" s="845"/>
      <c r="J67" s="845"/>
      <c r="K67" s="846"/>
    </row>
    <row r="68" spans="3:12" x14ac:dyDescent="0.25">
      <c r="C68" s="610" t="str">
        <f>template_label_total_scope_1_scope_2_and_scope_3_ghg_emissions_intensity_location_based</f>
        <v>Total Scope 1 Scope 2 and Scope 3 GHG Emissions intensity (location-based)</v>
      </c>
      <c r="D68" s="611"/>
      <c r="E68" s="611"/>
      <c r="F68" s="751"/>
      <c r="G68" s="839">
        <f>IF(G29=FALSE,
   "-",
   IFERROR(
      IF(OR(D46="", Turnover=""), "-", D46/Turnover),
      "-"
   )
)</f>
        <v>2.8363018667816592E-4</v>
      </c>
      <c r="H68" s="840"/>
      <c r="I68" s="840"/>
      <c r="J68" s="840"/>
      <c r="K68" s="841"/>
    </row>
    <row r="69" spans="3:12" ht="15.75" thickBot="1" x14ac:dyDescent="0.3">
      <c r="C69" s="560" t="str">
        <f>template_label_total_scope_1_scope_2_and_scope_3_ghg_emissions_intensity_market_based &amp; " - " &amp; template_label_may_not_headline</f>
        <v>Total Scope 1 Scope 2 and Scope 3 GHG Emissions intensity (market-based) - May (optional)</v>
      </c>
      <c r="D69" s="561"/>
      <c r="E69" s="561"/>
      <c r="F69" s="752"/>
      <c r="G69" s="799">
        <f>IF(G29=FALSE,
   "-",
   IFERROR(
      IF(OR(D47="", Turnover=""), "-", D47/Turnover),
      "-"
   )
)</f>
        <v>2.8363018667816592E-4</v>
      </c>
      <c r="H69" s="800"/>
      <c r="I69" s="800"/>
      <c r="J69" s="800"/>
      <c r="K69" s="801"/>
      <c r="L69" s="5"/>
    </row>
    <row r="70" spans="3:12" ht="15.75" thickBot="1" x14ac:dyDescent="0.3"/>
    <row r="71" spans="3:12" x14ac:dyDescent="0.25">
      <c r="C71" s="705" t="str">
        <f>template_label_b4_pollution_of_air_water_and_soil&amp;" "&amp;template_label_from&amp;" "&amp;template_starting_date_display&amp;" "&amp;template_label_to&amp;" "&amp;template_ending_date_display&amp;" "&amp;template_label_if_applicable</f>
        <v>B4 – Pollution of air water and soil from 2025-01-01 to 2025-12-31 [If applicable]</v>
      </c>
      <c r="D71" s="706"/>
      <c r="E71" s="706"/>
      <c r="F71" s="706"/>
      <c r="G71" s="706"/>
      <c r="H71" s="706"/>
      <c r="I71" s="706"/>
      <c r="J71" s="706"/>
      <c r="K71" s="707"/>
    </row>
    <row r="72" spans="3:12" x14ac:dyDescent="0.25">
      <c r="C72" s="386">
        <v>32</v>
      </c>
      <c r="D72" s="387"/>
      <c r="E72" s="387"/>
      <c r="F72" s="387"/>
      <c r="G72" s="387"/>
      <c r="H72" s="387"/>
      <c r="I72" s="387"/>
      <c r="J72" s="387"/>
      <c r="K72" s="388"/>
    </row>
    <row r="73" spans="3:12" x14ac:dyDescent="0.25">
      <c r="C73" s="389" t="s">
        <v>122</v>
      </c>
      <c r="D73" s="390"/>
      <c r="E73" s="390"/>
      <c r="F73" s="390"/>
      <c r="G73" s="390"/>
      <c r="H73" s="390"/>
      <c r="I73" s="390"/>
      <c r="J73" s="390"/>
      <c r="K73" s="391"/>
    </row>
    <row r="74" spans="3:12" ht="30" customHeight="1" x14ac:dyDescent="0.25">
      <c r="C74" s="636" t="str">
        <f>template_label_required_by_law_or_other_national_regulations_to_report_to_competent_authorities_its_emissions_of_pollutants</f>
        <v>Is the undertaking already required by law or other national regulations to report to competent authorities its emissions of pollutants or does it already voluntarily report on them according to an Environmental Management System?</v>
      </c>
      <c r="D74" s="791"/>
      <c r="E74" s="791"/>
      <c r="F74" s="637"/>
      <c r="G74" s="852" t="b">
        <v>0</v>
      </c>
      <c r="H74" s="853"/>
      <c r="I74" s="853"/>
      <c r="J74" s="853"/>
      <c r="K74" s="854"/>
      <c r="L74" s="13"/>
    </row>
    <row r="75" spans="3:12" x14ac:dyDescent="0.25">
      <c r="C75" s="610" t="str">
        <f>template_label_is_this_disclosure_already_publicly_available</f>
        <v>Is this disclosure already publicly available?</v>
      </c>
      <c r="D75" s="611"/>
      <c r="E75" s="611"/>
      <c r="F75" s="611"/>
      <c r="G75" s="810" t="b">
        <v>0</v>
      </c>
      <c r="H75" s="810"/>
      <c r="I75" s="810"/>
      <c r="J75" s="810"/>
      <c r="K75" s="811"/>
      <c r="L75" s="13" t="str" cm="1">
        <f t="array" ref="L75">IF(AND(G75=TRUE, D80:K119=""),
    template_label_ok,
    IF(AND(OR(D80:K119&lt;&gt;""), G75=TRUE),
       template_label_value_inconsistency,
       ""
    )
)</f>
        <v/>
      </c>
    </row>
    <row r="76" spans="3:12" x14ac:dyDescent="0.25">
      <c r="C76" s="610" t="str">
        <f>template_label_please_provide_the_relevant_url_link_or_hyperlink_of_where_this_information_is_reported</f>
        <v>Please provide the relevant URL link or hyperlink of where this information is reported</v>
      </c>
      <c r="D76" s="611"/>
      <c r="E76" s="611"/>
      <c r="F76" s="611"/>
      <c r="G76" s="802"/>
      <c r="H76" s="691"/>
      <c r="I76" s="691"/>
      <c r="J76" s="691"/>
      <c r="K76" s="803"/>
      <c r="L76" s="13" t="str">
        <f>IF(G75=TRUE,
   IF(G76="",
      template_label_missing_value,
      IF(OR(LEFT(G76,7)="http://", LEFT(G76,8)="https://", LEFT(G76,4)="www."),
         template_label_ok,
         template_label_invalid_url
      )
   ),
"")</f>
        <v/>
      </c>
    </row>
    <row r="77" spans="3:12" x14ac:dyDescent="0.25">
      <c r="C77" s="804" t="str">
        <f>template_label_please_select_the_unit_used_for_reporting_the_amount</f>
        <v>Please select the unit used for reporting the amount (i.e. either kg or tonne)</v>
      </c>
      <c r="D77" s="805"/>
      <c r="E77" s="805"/>
      <c r="F77" s="805"/>
      <c r="G77" s="805"/>
      <c r="H77" s="805"/>
      <c r="I77" s="805"/>
      <c r="J77" s="805"/>
      <c r="K77" s="806"/>
    </row>
    <row r="78" spans="3:12" x14ac:dyDescent="0.25">
      <c r="C78" s="807"/>
      <c r="D78" s="808"/>
      <c r="E78" s="808"/>
      <c r="F78" s="808"/>
      <c r="G78" s="808"/>
      <c r="H78" s="808"/>
      <c r="I78" s="808"/>
      <c r="J78" s="808"/>
      <c r="K78" s="809"/>
      <c r="L78" s="14" t="str" cm="1">
        <f t="array" ref="L78">IF(AND(OR(D80:F119&lt;&gt;"", G80:I119&lt;&gt;"", J80:J119&lt;&gt;"", G162&lt;&gt;"", K80:K119&lt;&gt;""), C78&lt;&gt;"", G74=TRUE, G75=FALSE),
    template_label_ok,
    IF(AND(OR(D80:F119&lt;&gt;"", G80:I119&lt;&gt;"", J80:J119&lt;&gt;"", G162&lt;&gt;"", K80:K119&lt;&gt;""), C78&lt;&gt;"", G74=TRUE, G75=TRUE),
        template_label_value_inconsistency,
        IF(AND(OR(D80:D119="", G80:G119="", J80:J119="", K80:K119=""), C78&lt;&gt;"", G74=TRUE, G75=FALSE),
            template_label_ok,
            IF(AND(OR(D80:D119="", G80:G119="", J80:J119="", K80:K119=""), C78&lt;&gt;"", G74=TRUE, G75=TRUE),
                template_label_value_inconsistency,
                IF(AND(OR(D80:F119&lt;&gt;"", G80:I119&lt;&gt;"", J80:J119&lt;&gt;"", G162&lt;&gt;"", K80:K119&lt;&gt;""), C78="", G74=TRUE, G75=FALSE),
                    template_label_missing_value,
                    ""
                )
            )
        )
    )
)</f>
        <v/>
      </c>
    </row>
    <row r="79" spans="3:12" x14ac:dyDescent="0.25">
      <c r="C79" s="83" t="str">
        <f>template_label_row_id</f>
        <v>Row ID</v>
      </c>
      <c r="D79" s="747" t="str">
        <f>template_label_pollutant</f>
        <v>Pollutant</v>
      </c>
      <c r="E79" s="747"/>
      <c r="F79" s="747"/>
      <c r="G79" s="747" t="str">
        <f>template_label_emission_to_air</f>
        <v>Emission to air</v>
      </c>
      <c r="H79" s="747"/>
      <c r="I79" s="747"/>
      <c r="J79" s="4" t="str">
        <f>template_label_emission_to_water</f>
        <v>Emission to water</v>
      </c>
      <c r="K79" s="73" t="str">
        <f>template_label_emission_to_soil</f>
        <v>Emission to soil</v>
      </c>
    </row>
    <row r="80" spans="3:12" x14ac:dyDescent="0.25">
      <c r="C80" s="155">
        <v>1</v>
      </c>
      <c r="D80" s="691"/>
      <c r="E80" s="691"/>
      <c r="F80" s="691"/>
      <c r="G80" s="684"/>
      <c r="H80" s="685"/>
      <c r="I80" s="686"/>
      <c r="J80" s="189"/>
      <c r="K80" s="191"/>
      <c r="L80" s="13" t="str">
        <f>IF(AND($G$74=TRUE,$G$75=TRUE,OR(D80&lt;&gt;"",G80&lt;&gt;"",J80&lt;&gt;"",K80&lt;&gt;"")),
    template_label_value_inconsistency,
IF($G$74&lt;&gt;TRUE, "",
IF(AND(D80="", G80="", J80="", K80=""), "",
IF(AND(D80&lt;&gt;"", G80="", J80="", K80=""), template_label_missing_value,
IF(AND(D80&lt;&gt;"", OR(G80&lt;&gt;"", J80&lt;&gt;"", K80&lt;&gt;"")),
    IF(COUNTIF($D$80:$D$119, D80)&gt;1, template_label_value_inconsistency, template_label_ok),
template_label_missing_value)))))</f>
        <v/>
      </c>
    </row>
    <row r="81" spans="3:13" x14ac:dyDescent="0.25">
      <c r="C81" s="155">
        <v>2</v>
      </c>
      <c r="D81" s="691"/>
      <c r="E81" s="691"/>
      <c r="F81" s="691"/>
      <c r="G81" s="684"/>
      <c r="H81" s="685"/>
      <c r="I81" s="686"/>
      <c r="J81" s="189"/>
      <c r="K81" s="191"/>
      <c r="L81" s="13" t="str">
        <f t="shared" ref="L81:L119" si="3">IF(AND($G$74=TRUE,$G$75=TRUE,OR(D81&lt;&gt;"",G81&lt;&gt;"",J81&lt;&gt;"",K81&lt;&gt;"")),
    template_label_value_inconsistency,
IF($G$74&lt;&gt;TRUE, "",
IF(AND(D81="", G81="", J81="", K81=""), "",
IF(AND(D81&lt;&gt;"", G81="", J81="", K81=""), template_label_missing_value,
IF(AND(D81&lt;&gt;"", OR(G81&lt;&gt;"", J81&lt;&gt;"", K81&lt;&gt;"")),
    IF(COUNTIF($D$80:$D$119, D81)&gt;1, template_label_value_inconsistency, template_label_ok),
template_label_missing_value)))))</f>
        <v/>
      </c>
    </row>
    <row r="82" spans="3:13" ht="15.75" thickBot="1" x14ac:dyDescent="0.3">
      <c r="C82" s="157">
        <v>3</v>
      </c>
      <c r="D82" s="692"/>
      <c r="E82" s="692"/>
      <c r="F82" s="692"/>
      <c r="G82" s="687"/>
      <c r="H82" s="688"/>
      <c r="I82" s="689"/>
      <c r="J82" s="192"/>
      <c r="K82" s="193"/>
      <c r="L82" s="13" t="str">
        <f t="shared" si="3"/>
        <v/>
      </c>
      <c r="M82" t="str">
        <f>template_label_additional_rows_warning</f>
        <v>ℹ️  Lists can be expanded using the little [+] button on the left.  If the number of rows is not sufficient, those can be added by right clicking the second row and selecting "Insert row".</v>
      </c>
    </row>
    <row r="83" spans="3:13" outlineLevel="1" x14ac:dyDescent="0.25">
      <c r="C83" s="156">
        <v>4</v>
      </c>
      <c r="D83" s="798"/>
      <c r="E83" s="798"/>
      <c r="F83" s="798"/>
      <c r="G83" s="690"/>
      <c r="H83" s="690"/>
      <c r="I83" s="690"/>
      <c r="J83" s="194"/>
      <c r="K83" s="195"/>
      <c r="L83" s="13" t="str">
        <f t="shared" si="3"/>
        <v/>
      </c>
    </row>
    <row r="84" spans="3:13" outlineLevel="1" x14ac:dyDescent="0.25">
      <c r="C84" s="155">
        <v>5</v>
      </c>
      <c r="D84" s="691"/>
      <c r="E84" s="691"/>
      <c r="F84" s="691"/>
      <c r="G84" s="671"/>
      <c r="H84" s="671"/>
      <c r="I84" s="671"/>
      <c r="J84" s="189"/>
      <c r="K84" s="191"/>
      <c r="L84" s="13" t="str">
        <f t="shared" si="3"/>
        <v/>
      </c>
    </row>
    <row r="85" spans="3:13" outlineLevel="1" x14ac:dyDescent="0.25">
      <c r="C85" s="155">
        <v>6</v>
      </c>
      <c r="D85" s="691"/>
      <c r="E85" s="691"/>
      <c r="F85" s="691"/>
      <c r="G85" s="671"/>
      <c r="H85" s="671"/>
      <c r="I85" s="671"/>
      <c r="J85" s="189"/>
      <c r="K85" s="191"/>
      <c r="L85" s="13" t="str">
        <f t="shared" si="3"/>
        <v/>
      </c>
    </row>
    <row r="86" spans="3:13" outlineLevel="1" x14ac:dyDescent="0.25">
      <c r="C86" s="155">
        <v>7</v>
      </c>
      <c r="D86" s="691"/>
      <c r="E86" s="691"/>
      <c r="F86" s="691"/>
      <c r="G86" s="671"/>
      <c r="H86" s="671"/>
      <c r="I86" s="671"/>
      <c r="J86" s="189"/>
      <c r="K86" s="191"/>
      <c r="L86" s="13" t="str">
        <f t="shared" si="3"/>
        <v/>
      </c>
    </row>
    <row r="87" spans="3:13" outlineLevel="1" x14ac:dyDescent="0.25">
      <c r="C87" s="155">
        <v>8</v>
      </c>
      <c r="D87" s="691"/>
      <c r="E87" s="691"/>
      <c r="F87" s="691"/>
      <c r="G87" s="671"/>
      <c r="H87" s="671"/>
      <c r="I87" s="671"/>
      <c r="J87" s="189"/>
      <c r="K87" s="191"/>
      <c r="L87" s="13" t="str">
        <f t="shared" si="3"/>
        <v/>
      </c>
    </row>
    <row r="88" spans="3:13" outlineLevel="1" x14ac:dyDescent="0.25">
      <c r="C88" s="155">
        <v>9</v>
      </c>
      <c r="D88" s="691"/>
      <c r="E88" s="691"/>
      <c r="F88" s="691"/>
      <c r="G88" s="671"/>
      <c r="H88" s="671"/>
      <c r="I88" s="671"/>
      <c r="J88" s="189"/>
      <c r="K88" s="191"/>
      <c r="L88" s="13" t="str">
        <f t="shared" si="3"/>
        <v/>
      </c>
    </row>
    <row r="89" spans="3:13" outlineLevel="1" x14ac:dyDescent="0.25">
      <c r="C89" s="155">
        <v>10</v>
      </c>
      <c r="D89" s="691"/>
      <c r="E89" s="691"/>
      <c r="F89" s="691"/>
      <c r="G89" s="671"/>
      <c r="H89" s="671"/>
      <c r="I89" s="671"/>
      <c r="J89" s="189"/>
      <c r="K89" s="191"/>
      <c r="L89" s="13" t="str">
        <f t="shared" si="3"/>
        <v/>
      </c>
    </row>
    <row r="90" spans="3:13" outlineLevel="1" x14ac:dyDescent="0.25">
      <c r="C90" s="155">
        <v>11</v>
      </c>
      <c r="D90" s="691"/>
      <c r="E90" s="691"/>
      <c r="F90" s="691"/>
      <c r="G90" s="671"/>
      <c r="H90" s="671"/>
      <c r="I90" s="671"/>
      <c r="J90" s="189"/>
      <c r="K90" s="191"/>
      <c r="L90" s="13" t="str">
        <f t="shared" si="3"/>
        <v/>
      </c>
    </row>
    <row r="91" spans="3:13" outlineLevel="1" x14ac:dyDescent="0.25">
      <c r="C91" s="155">
        <v>12</v>
      </c>
      <c r="D91" s="691"/>
      <c r="E91" s="691"/>
      <c r="F91" s="691"/>
      <c r="G91" s="671"/>
      <c r="H91" s="671"/>
      <c r="I91" s="671"/>
      <c r="J91" s="189"/>
      <c r="K91" s="191"/>
      <c r="L91" s="13" t="str">
        <f t="shared" si="3"/>
        <v/>
      </c>
    </row>
    <row r="92" spans="3:13" outlineLevel="1" x14ac:dyDescent="0.25">
      <c r="C92" s="155">
        <v>13</v>
      </c>
      <c r="D92" s="691"/>
      <c r="E92" s="691"/>
      <c r="F92" s="691"/>
      <c r="G92" s="671"/>
      <c r="H92" s="671"/>
      <c r="I92" s="671"/>
      <c r="J92" s="189"/>
      <c r="K92" s="191"/>
      <c r="L92" s="13" t="str">
        <f t="shared" si="3"/>
        <v/>
      </c>
    </row>
    <row r="93" spans="3:13" outlineLevel="1" x14ac:dyDescent="0.25">
      <c r="C93" s="155">
        <v>14</v>
      </c>
      <c r="D93" s="691"/>
      <c r="E93" s="691"/>
      <c r="F93" s="691"/>
      <c r="G93" s="671"/>
      <c r="H93" s="671"/>
      <c r="I93" s="671"/>
      <c r="J93" s="189"/>
      <c r="K93" s="191"/>
      <c r="L93" s="13" t="str">
        <f t="shared" si="3"/>
        <v/>
      </c>
    </row>
    <row r="94" spans="3:13" outlineLevel="1" x14ac:dyDescent="0.25">
      <c r="C94" s="155">
        <v>15</v>
      </c>
      <c r="D94" s="691"/>
      <c r="E94" s="691"/>
      <c r="F94" s="691"/>
      <c r="G94" s="671"/>
      <c r="H94" s="671"/>
      <c r="I94" s="671"/>
      <c r="J94" s="189"/>
      <c r="K94" s="191"/>
      <c r="L94" s="13" t="str">
        <f t="shared" si="3"/>
        <v/>
      </c>
    </row>
    <row r="95" spans="3:13" outlineLevel="1" x14ac:dyDescent="0.25">
      <c r="C95" s="155">
        <v>16</v>
      </c>
      <c r="D95" s="691"/>
      <c r="E95" s="691"/>
      <c r="F95" s="691"/>
      <c r="G95" s="671"/>
      <c r="H95" s="671"/>
      <c r="I95" s="671"/>
      <c r="J95" s="189"/>
      <c r="K95" s="191"/>
      <c r="L95" s="13" t="str">
        <f t="shared" si="3"/>
        <v/>
      </c>
    </row>
    <row r="96" spans="3:13" outlineLevel="1" x14ac:dyDescent="0.25">
      <c r="C96" s="155">
        <v>17</v>
      </c>
      <c r="D96" s="691"/>
      <c r="E96" s="691"/>
      <c r="F96" s="691"/>
      <c r="G96" s="671"/>
      <c r="H96" s="671"/>
      <c r="I96" s="671"/>
      <c r="J96" s="189"/>
      <c r="K96" s="191"/>
      <c r="L96" s="13" t="str">
        <f t="shared" si="3"/>
        <v/>
      </c>
    </row>
    <row r="97" spans="3:13" outlineLevel="1" x14ac:dyDescent="0.25">
      <c r="C97" s="155">
        <v>18</v>
      </c>
      <c r="D97" s="691"/>
      <c r="E97" s="691"/>
      <c r="F97" s="691"/>
      <c r="G97" s="671"/>
      <c r="H97" s="671"/>
      <c r="I97" s="671"/>
      <c r="J97" s="189"/>
      <c r="K97" s="191"/>
      <c r="L97" s="13" t="str">
        <f t="shared" si="3"/>
        <v/>
      </c>
    </row>
    <row r="98" spans="3:13" outlineLevel="1" x14ac:dyDescent="0.25">
      <c r="C98" s="155">
        <v>19</v>
      </c>
      <c r="D98" s="691"/>
      <c r="E98" s="691"/>
      <c r="F98" s="691"/>
      <c r="G98" s="671"/>
      <c r="H98" s="671"/>
      <c r="I98" s="671"/>
      <c r="J98" s="189"/>
      <c r="K98" s="191"/>
      <c r="L98" s="13" t="str">
        <f t="shared" si="3"/>
        <v/>
      </c>
    </row>
    <row r="99" spans="3:13" outlineLevel="1" x14ac:dyDescent="0.25">
      <c r="C99" s="155">
        <v>20</v>
      </c>
      <c r="D99" s="691"/>
      <c r="E99" s="691"/>
      <c r="F99" s="691"/>
      <c r="G99" s="671"/>
      <c r="H99" s="671"/>
      <c r="I99" s="671"/>
      <c r="J99" s="189"/>
      <c r="K99" s="191"/>
      <c r="L99" s="13" t="str">
        <f t="shared" si="3"/>
        <v/>
      </c>
    </row>
    <row r="100" spans="3:13" outlineLevel="1" x14ac:dyDescent="0.25">
      <c r="C100" s="155">
        <v>21</v>
      </c>
      <c r="D100" s="691"/>
      <c r="E100" s="691"/>
      <c r="F100" s="691"/>
      <c r="G100" s="671"/>
      <c r="H100" s="671"/>
      <c r="I100" s="671"/>
      <c r="J100" s="189"/>
      <c r="K100" s="191"/>
      <c r="L100" s="13" t="str">
        <f t="shared" si="3"/>
        <v/>
      </c>
    </row>
    <row r="101" spans="3:13" outlineLevel="1" x14ac:dyDescent="0.25">
      <c r="C101" s="155">
        <v>22</v>
      </c>
      <c r="D101" s="691"/>
      <c r="E101" s="691"/>
      <c r="F101" s="691"/>
      <c r="G101" s="671"/>
      <c r="H101" s="671"/>
      <c r="I101" s="671"/>
      <c r="J101" s="189"/>
      <c r="K101" s="191"/>
      <c r="L101" s="13" t="str">
        <f t="shared" si="3"/>
        <v/>
      </c>
    </row>
    <row r="102" spans="3:13" outlineLevel="1" x14ac:dyDescent="0.25">
      <c r="C102" s="155">
        <v>23</v>
      </c>
      <c r="D102" s="691"/>
      <c r="E102" s="691"/>
      <c r="F102" s="691"/>
      <c r="G102" s="671"/>
      <c r="H102" s="671"/>
      <c r="I102" s="671"/>
      <c r="J102" s="189"/>
      <c r="K102" s="191"/>
      <c r="L102" s="13" t="str">
        <f t="shared" si="3"/>
        <v/>
      </c>
    </row>
    <row r="103" spans="3:13" outlineLevel="1" x14ac:dyDescent="0.25">
      <c r="C103" s="155">
        <v>24</v>
      </c>
      <c r="D103" s="691"/>
      <c r="E103" s="691"/>
      <c r="F103" s="691"/>
      <c r="G103" s="671"/>
      <c r="H103" s="671"/>
      <c r="I103" s="671"/>
      <c r="J103" s="189"/>
      <c r="K103" s="191"/>
      <c r="L103" s="13" t="str">
        <f t="shared" si="3"/>
        <v/>
      </c>
    </row>
    <row r="104" spans="3:13" outlineLevel="1" x14ac:dyDescent="0.25">
      <c r="C104" s="155">
        <v>25</v>
      </c>
      <c r="D104" s="691"/>
      <c r="E104" s="691"/>
      <c r="F104" s="691"/>
      <c r="G104" s="671"/>
      <c r="H104" s="671"/>
      <c r="I104" s="671"/>
      <c r="J104" s="189"/>
      <c r="K104" s="191"/>
      <c r="L104" s="13" t="str">
        <f t="shared" si="3"/>
        <v/>
      </c>
    </row>
    <row r="105" spans="3:13" outlineLevel="1" x14ac:dyDescent="0.25">
      <c r="C105" s="155">
        <v>26</v>
      </c>
      <c r="D105" s="691"/>
      <c r="E105" s="691"/>
      <c r="F105" s="691"/>
      <c r="G105" s="671"/>
      <c r="H105" s="671"/>
      <c r="I105" s="671"/>
      <c r="J105" s="189"/>
      <c r="K105" s="191"/>
      <c r="L105" s="13" t="str">
        <f t="shared" si="3"/>
        <v/>
      </c>
    </row>
    <row r="106" spans="3:13" outlineLevel="1" x14ac:dyDescent="0.25">
      <c r="C106" s="155">
        <v>27</v>
      </c>
      <c r="D106" s="691"/>
      <c r="E106" s="691"/>
      <c r="F106" s="691"/>
      <c r="G106" s="671"/>
      <c r="H106" s="671"/>
      <c r="I106" s="671"/>
      <c r="J106" s="189"/>
      <c r="K106" s="191"/>
      <c r="L106" s="13" t="str">
        <f t="shared" si="3"/>
        <v/>
      </c>
    </row>
    <row r="107" spans="3:13" outlineLevel="1" x14ac:dyDescent="0.25">
      <c r="C107" s="155">
        <v>28</v>
      </c>
      <c r="D107" s="691"/>
      <c r="E107" s="691"/>
      <c r="F107" s="691"/>
      <c r="G107" s="671"/>
      <c r="H107" s="671"/>
      <c r="I107" s="671"/>
      <c r="J107" s="189"/>
      <c r="K107" s="191"/>
      <c r="L107" s="13" t="str">
        <f t="shared" si="3"/>
        <v/>
      </c>
    </row>
    <row r="108" spans="3:13" outlineLevel="1" x14ac:dyDescent="0.25">
      <c r="C108" s="155">
        <v>29</v>
      </c>
      <c r="D108" s="691"/>
      <c r="E108" s="691"/>
      <c r="F108" s="691"/>
      <c r="G108" s="671"/>
      <c r="H108" s="671"/>
      <c r="I108" s="671"/>
      <c r="J108" s="189"/>
      <c r="K108" s="191"/>
      <c r="L108" s="13" t="str">
        <f t="shared" si="3"/>
        <v/>
      </c>
      <c r="M108" s="84"/>
    </row>
    <row r="109" spans="3:13" outlineLevel="1" x14ac:dyDescent="0.25">
      <c r="C109" s="155">
        <v>30</v>
      </c>
      <c r="D109" s="691"/>
      <c r="E109" s="691"/>
      <c r="F109" s="691"/>
      <c r="G109" s="671"/>
      <c r="H109" s="671"/>
      <c r="I109" s="671"/>
      <c r="J109" s="189"/>
      <c r="K109" s="191"/>
      <c r="L109" s="13" t="str">
        <f t="shared" si="3"/>
        <v/>
      </c>
    </row>
    <row r="110" spans="3:13" outlineLevel="1" x14ac:dyDescent="0.25">
      <c r="C110" s="155">
        <v>31</v>
      </c>
      <c r="D110" s="691"/>
      <c r="E110" s="691"/>
      <c r="F110" s="691"/>
      <c r="G110" s="671"/>
      <c r="H110" s="671"/>
      <c r="I110" s="671"/>
      <c r="J110" s="189"/>
      <c r="K110" s="191"/>
      <c r="L110" s="13" t="str">
        <f t="shared" si="3"/>
        <v/>
      </c>
    </row>
    <row r="111" spans="3:13" outlineLevel="1" x14ac:dyDescent="0.25">
      <c r="C111" s="155">
        <v>32</v>
      </c>
      <c r="D111" s="691"/>
      <c r="E111" s="691"/>
      <c r="F111" s="691"/>
      <c r="G111" s="671"/>
      <c r="H111" s="671"/>
      <c r="I111" s="671"/>
      <c r="J111" s="189"/>
      <c r="K111" s="191"/>
      <c r="L111" s="13" t="str">
        <f t="shared" si="3"/>
        <v/>
      </c>
    </row>
    <row r="112" spans="3:13" outlineLevel="1" x14ac:dyDescent="0.25">
      <c r="C112" s="155">
        <v>33</v>
      </c>
      <c r="D112" s="691"/>
      <c r="E112" s="691"/>
      <c r="F112" s="691"/>
      <c r="G112" s="671"/>
      <c r="H112" s="671"/>
      <c r="I112" s="671"/>
      <c r="J112" s="189"/>
      <c r="K112" s="191"/>
      <c r="L112" s="13" t="str">
        <f t="shared" si="3"/>
        <v/>
      </c>
    </row>
    <row r="113" spans="3:13" outlineLevel="1" x14ac:dyDescent="0.25">
      <c r="C113" s="155">
        <v>34</v>
      </c>
      <c r="D113" s="691"/>
      <c r="E113" s="691"/>
      <c r="F113" s="691"/>
      <c r="G113" s="671"/>
      <c r="H113" s="671"/>
      <c r="I113" s="671"/>
      <c r="J113" s="189"/>
      <c r="K113" s="191"/>
      <c r="L113" s="13" t="str">
        <f t="shared" si="3"/>
        <v/>
      </c>
    </row>
    <row r="114" spans="3:13" outlineLevel="1" x14ac:dyDescent="0.25">
      <c r="C114" s="155">
        <v>35</v>
      </c>
      <c r="D114" s="691"/>
      <c r="E114" s="691"/>
      <c r="F114" s="691"/>
      <c r="G114" s="671"/>
      <c r="H114" s="671"/>
      <c r="I114" s="671"/>
      <c r="J114" s="189"/>
      <c r="K114" s="191"/>
      <c r="L114" s="13" t="str">
        <f t="shared" si="3"/>
        <v/>
      </c>
    </row>
    <row r="115" spans="3:13" outlineLevel="1" x14ac:dyDescent="0.25">
      <c r="C115" s="155">
        <v>36</v>
      </c>
      <c r="D115" s="691"/>
      <c r="E115" s="691"/>
      <c r="F115" s="691"/>
      <c r="G115" s="671"/>
      <c r="H115" s="671"/>
      <c r="I115" s="671"/>
      <c r="J115" s="189"/>
      <c r="K115" s="191"/>
      <c r="L115" s="13" t="str">
        <f t="shared" si="3"/>
        <v/>
      </c>
    </row>
    <row r="116" spans="3:13" outlineLevel="1" x14ac:dyDescent="0.25">
      <c r="C116" s="155">
        <v>37</v>
      </c>
      <c r="D116" s="691"/>
      <c r="E116" s="691"/>
      <c r="F116" s="691"/>
      <c r="G116" s="671"/>
      <c r="H116" s="671"/>
      <c r="I116" s="671"/>
      <c r="J116" s="189"/>
      <c r="K116" s="191"/>
      <c r="L116" s="13" t="str">
        <f t="shared" si="3"/>
        <v/>
      </c>
    </row>
    <row r="117" spans="3:13" outlineLevel="1" x14ac:dyDescent="0.25">
      <c r="C117" s="155">
        <v>38</v>
      </c>
      <c r="D117" s="691"/>
      <c r="E117" s="691"/>
      <c r="F117" s="691"/>
      <c r="G117" s="671"/>
      <c r="H117" s="671"/>
      <c r="I117" s="671"/>
      <c r="J117" s="189"/>
      <c r="K117" s="191"/>
      <c r="L117" s="13" t="str">
        <f t="shared" si="3"/>
        <v/>
      </c>
    </row>
    <row r="118" spans="3:13" outlineLevel="1" x14ac:dyDescent="0.25">
      <c r="C118" s="155">
        <v>39</v>
      </c>
      <c r="D118" s="691"/>
      <c r="E118" s="691"/>
      <c r="F118" s="691"/>
      <c r="G118" s="671"/>
      <c r="H118" s="671"/>
      <c r="I118" s="671"/>
      <c r="J118" s="189"/>
      <c r="K118" s="191"/>
      <c r="L118" s="13" t="str">
        <f t="shared" si="3"/>
        <v/>
      </c>
    </row>
    <row r="119" spans="3:13" ht="15.75" outlineLevel="1" thickBot="1" x14ac:dyDescent="0.3">
      <c r="C119" s="155">
        <v>40</v>
      </c>
      <c r="D119" s="691"/>
      <c r="E119" s="691"/>
      <c r="F119" s="691"/>
      <c r="G119" s="871"/>
      <c r="H119" s="871"/>
      <c r="I119" s="871"/>
      <c r="J119" s="192"/>
      <c r="K119" s="196"/>
      <c r="L119" s="13" t="str">
        <f t="shared" si="3"/>
        <v/>
      </c>
    </row>
    <row r="120" spans="3:13" ht="15.75" thickBot="1" x14ac:dyDescent="0.3">
      <c r="C120" s="85"/>
      <c r="D120" s="85"/>
      <c r="E120" s="11"/>
      <c r="F120" s="11"/>
      <c r="G120" s="11"/>
      <c r="H120" s="11"/>
      <c r="I120" s="11"/>
      <c r="J120" s="11"/>
      <c r="K120" s="11"/>
    </row>
    <row r="121" spans="3:13" x14ac:dyDescent="0.25">
      <c r="C121" s="769" t="str">
        <f>template_label_b5_sites_in_biodiversity_sensitive_areas&amp;" "&amp;template_label_from&amp;" "&amp;template_starting_date_display&amp;" "&amp;template_label_to&amp;" "&amp;template_ending_date_display&amp;" "&amp;template_label_if_applicable</f>
        <v>B5 - Sites in biodiversity sensitive areas from 2025-01-01 to 2025-12-31 [If applicable]</v>
      </c>
      <c r="D121" s="769"/>
      <c r="E121" s="769"/>
      <c r="F121" s="769"/>
      <c r="G121" s="769"/>
      <c r="H121" s="769"/>
      <c r="I121" s="769"/>
      <c r="J121" s="769"/>
      <c r="K121" s="770"/>
    </row>
    <row r="122" spans="3:13" x14ac:dyDescent="0.25">
      <c r="C122" s="353">
        <v>33</v>
      </c>
      <c r="D122" s="353"/>
      <c r="E122" s="353"/>
      <c r="F122" s="353"/>
      <c r="G122" s="353"/>
      <c r="H122" s="353"/>
      <c r="I122" s="353"/>
      <c r="J122" s="353"/>
      <c r="K122" s="837"/>
    </row>
    <row r="123" spans="3:13" x14ac:dyDescent="0.25">
      <c r="C123" s="356" t="s">
        <v>123</v>
      </c>
      <c r="D123" s="356"/>
      <c r="E123" s="356"/>
      <c r="F123" s="356"/>
      <c r="G123" s="356"/>
      <c r="H123" s="356"/>
      <c r="I123" s="356"/>
      <c r="J123" s="356"/>
      <c r="K123" s="771"/>
    </row>
    <row r="124" spans="3:13" x14ac:dyDescent="0.25">
      <c r="C124" s="676" t="str">
        <f>template_label_does_the_undertaking_have_sites_that_are_located_in_or_near_biodiversity_sensitive_areas</f>
        <v>Does the undertaking have sites that are located in or near biodiversity sensitive areas?</v>
      </c>
      <c r="D124" s="677"/>
      <c r="E124" s="677"/>
      <c r="F124" s="677"/>
      <c r="G124" s="903" t="b">
        <v>0</v>
      </c>
      <c r="H124" s="904"/>
      <c r="I124" s="904"/>
      <c r="J124" s="904"/>
      <c r="K124" s="905"/>
    </row>
    <row r="125" spans="3:13" x14ac:dyDescent="0.25">
      <c r="C125" s="906" t="str">
        <f>template_label_please_select_the_unit_used_for_the_area</f>
        <v>Please select the unit used for the area (i.e. either hectares or m²):</v>
      </c>
      <c r="D125" s="907"/>
      <c r="E125" s="907"/>
      <c r="F125" s="907"/>
      <c r="G125" s="907"/>
      <c r="H125" s="907"/>
      <c r="I125" s="907"/>
      <c r="J125" s="907"/>
      <c r="K125" s="908"/>
    </row>
    <row r="126" spans="3:13" ht="15.75" thickBot="1" x14ac:dyDescent="0.3">
      <c r="C126" s="807"/>
      <c r="D126" s="808"/>
      <c r="E126" s="808"/>
      <c r="F126" s="808"/>
      <c r="G126" s="808"/>
      <c r="H126" s="808"/>
      <c r="I126" s="808"/>
      <c r="J126" s="808"/>
      <c r="K126" s="809"/>
      <c r="L126" s="14" t="str">
        <f>IF(AND(G124=TRUE,C126=""), template_label_missing_value, IF(AND(G124=TRUE,C126&lt;&gt;""), template_label_ok, ""))</f>
        <v/>
      </c>
    </row>
    <row r="127" spans="3:13" ht="57.6" customHeight="1" x14ac:dyDescent="0.25">
      <c r="C127" s="86" t="str">
        <f>template_label_related_site_id</f>
        <v>Related Site ID (select an ID from a site location reported in B1)</v>
      </c>
      <c r="D127" s="772" t="str">
        <f>template_label_site_location_in_near_a_biodiversity_area</f>
        <v>Site Location in near a biodiversity area - auto filled from B1</v>
      </c>
      <c r="E127" s="773"/>
      <c r="F127" s="774"/>
      <c r="G127" s="772" t="str">
        <f>template_label_area_hectares_or_m2</f>
        <v>Area (hectares or m² based on the selection above)</v>
      </c>
      <c r="H127" s="773"/>
      <c r="I127" s="774"/>
      <c r="J127" s="159" t="str">
        <f>template_label_site_located_in_a_biodiversity_sensitive_area</f>
        <v>Site located in a biodiversity sensitive area</v>
      </c>
      <c r="K127" s="160" t="str">
        <f>template_label_site_located_near_a_biodiversity_sensitive_area</f>
        <v>Site located near a biodiversity sensitive area</v>
      </c>
    </row>
    <row r="128" spans="3:13" x14ac:dyDescent="0.25">
      <c r="C128" s="155"/>
      <c r="D128" s="763" t="str">
        <f>IF(C128 = "", "",
IF(AND(COUNTIF('General Information'!C109:C133, C128),
        INDEX('General Information'!D109:D133, MATCH(C128, 'General Information'!C109:C133, 0)) = ""),
   "VALUE INCONSISTENCY",
IFERROR(VLOOKUP(C128, ListOfSitesTable, 5, FALSE),"") &amp; " " &amp;
IFERROR(VLOOKUP(C128, ListOfSitesTable, 4, FALSE),"") &amp; " " &amp;
IFERROR(VLOOKUP(C128, ListOfSitesTable, 2, FALSE),"")))</f>
        <v/>
      </c>
      <c r="E128" s="764"/>
      <c r="F128" s="765"/>
      <c r="G128" s="733"/>
      <c r="H128" s="734"/>
      <c r="I128" s="734"/>
      <c r="J128" s="164" t="b">
        <v>0</v>
      </c>
      <c r="K128" s="162" t="b">
        <v>0</v>
      </c>
      <c r="L128" s="14" t="str">
        <f t="shared" ref="L128:L153" si="4">IF($G$124=FALSE, "",
    IF(AND($G$124=TRUE, TRIM(D128)&lt;&gt;"", TRIM(G128)&lt;&gt;"", OR(J128=TRUE, K128=TRUE)), template_label_ok,
        IF(AND($G$124=TRUE, TRIM(D128)&lt;&gt;"", TRIM(G128)&lt;&gt;"", J128=FALSE, K128=FALSE), template_label_missing_value,
            IF(AND($G$124=TRUE, TRIM(D128)&lt;&gt;"", TRIM(G128)="", J128=FALSE, K128=FALSE), template_label_missing_value,
                IF(AND($G$124=TRUE, TRIM(D128)&lt;&gt;"", TRIM(G128)="", OR(J128=TRUE, K128=TRUE)), template_label_missing_value,
                    IF(AND($G$124=TRUE, TRIM(D128)="", TRIM(G128)&lt;&gt;"", J128=FALSE, K128=FALSE), template_label_missing_value,
                        IF(AND($G$124=TRUE, TRIM(D128)="", TRIM(G128)="", OR(J128=TRUE, K128=TRUE)), template_label_missing_value,
                            IF(AND($G$124=TRUE, TRIM(D128)="", TRIM(G128)&lt;&gt;"", OR(J128=TRUE, K128=TRUE)), template_label_missing_value,
                                ""
                            )
                        )
                    )
                )
            )
        )
    )
)</f>
        <v/>
      </c>
      <c r="M128" t="str">
        <f>template_label_site_ID_value_inconsistency_warning</f>
        <v>ℹ️  If a validation related to value inconsistency is displayed, please select a site ID that is different from one of those previously selected.</v>
      </c>
    </row>
    <row r="129" spans="3:17" x14ac:dyDescent="0.25">
      <c r="C129" s="155"/>
      <c r="D129" s="681" t="str">
        <f>IF(C129 = "", "",
IF(COUNTIF($C$128:C128, C129), "VALUE INCONSISTENCY",
IF(AND(COUNTIF('General Information'!$C$109:$C$133, C129),
       INDEX('General Information'!$D$109:$D$133, MATCH(C129, 'General Information'!$C$109:$C$133, 0)) = ""),
   "VALUE INCONSISTENCY",
IFERROR(VLOOKUP(C129, ListOfSitesTable, 5, FALSE), "") &amp; " " &amp;
IFERROR(VLOOKUP(C129, ListOfSitesTable, 4, FALSE), "") &amp; " " &amp;
IFERROR(VLOOKUP(C129, ListOfSitesTable, 2, FALSE), ""))))</f>
        <v/>
      </c>
      <c r="E129" s="682"/>
      <c r="F129" s="683"/>
      <c r="G129" s="733"/>
      <c r="H129" s="734"/>
      <c r="I129" s="734"/>
      <c r="J129" s="164" t="b">
        <v>0</v>
      </c>
      <c r="K129" s="162" t="b">
        <v>0</v>
      </c>
      <c r="L129" s="14" t="str">
        <f t="shared" si="4"/>
        <v/>
      </c>
    </row>
    <row r="130" spans="3:17" ht="15.75" thickBot="1" x14ac:dyDescent="0.3">
      <c r="C130" s="157"/>
      <c r="D130" s="753" t="str">
        <f>IF(C130 = "", "",
IF(COUNTIF($C$128:C129, C130), "VALUE INCONSISTENCY",
IF(AND(COUNTIF('General Information'!$C$109:$C$133, C130),
       INDEX('General Information'!$D$109:$D$133, MATCH(C130, 'General Information'!$C$109:$C$133, 0)) = ""),
   "VALUE INCONSISTENCY",
IFERROR(VLOOKUP(C130, ListOfSitesTable, 5, FALSE), "") &amp; " " &amp;
IFERROR(VLOOKUP(C130, ListOfSitesTable, 4, FALSE), "") &amp; " " &amp;
IFERROR(VLOOKUP(C130, ListOfSitesTable, 2, FALSE), ""))))</f>
        <v/>
      </c>
      <c r="E130" s="754"/>
      <c r="F130" s="755"/>
      <c r="G130" s="757"/>
      <c r="H130" s="757"/>
      <c r="I130" s="757"/>
      <c r="J130" s="165" t="b">
        <v>0</v>
      </c>
      <c r="K130" s="163" t="b">
        <v>0</v>
      </c>
      <c r="L130" s="14" t="str">
        <f t="shared" si="4"/>
        <v/>
      </c>
      <c r="M130" t="str">
        <f>template_label_additional_rows_warning</f>
        <v>ℹ️  Lists can be expanded using the little [+] button on the left.  If the number of rows is not sufficient, those can be added by right clicking the second row and selecting "Insert row".</v>
      </c>
    </row>
    <row r="131" spans="3:17" outlineLevel="1" x14ac:dyDescent="0.25">
      <c r="C131" s="156"/>
      <c r="D131" s="678" t="str">
        <f>IF(C131 = "", "",
IF(COUNTIF($C$128:C130, C131), "VALUE INCONSISTENCY",
IF(AND(COUNTIF('General Information'!$C$109:$C$133, C131),
       INDEX('General Information'!$D$109:$D$133, MATCH(C131, 'General Information'!$C$109:$C$133, 0)) = ""),
   "VALUE INCONSISTENCY",
IFERROR(VLOOKUP(C131, ListOfSitesTable, 5, FALSE), "") &amp; " " &amp;
IFERROR(VLOOKUP(C131, ListOfSitesTable, 4, FALSE), "") &amp; " " &amp;
IFERROR(VLOOKUP(C131, ListOfSitesTable, 2, FALSE), ""))))</f>
        <v/>
      </c>
      <c r="E131" s="679"/>
      <c r="F131" s="680"/>
      <c r="G131" s="775"/>
      <c r="H131" s="776"/>
      <c r="I131" s="777"/>
      <c r="J131" s="166" t="b">
        <v>0</v>
      </c>
      <c r="K131" s="161" t="b">
        <v>0</v>
      </c>
      <c r="L131" s="14" t="str">
        <f t="shared" si="4"/>
        <v/>
      </c>
      <c r="M131" s="7"/>
      <c r="N131" s="7"/>
      <c r="O131" s="7"/>
      <c r="P131" s="7"/>
      <c r="Q131" s="7"/>
    </row>
    <row r="132" spans="3:17" outlineLevel="1" x14ac:dyDescent="0.25">
      <c r="C132" s="156"/>
      <c r="D132" s="681" t="str">
        <f>IF(C132 = "", "",
IF(COUNTIF($C$128:C131, C132), "VALUE INCONSISTENCY",
IF(AND(COUNTIF('General Information'!$C$109:$C$133, C132),
       INDEX('General Information'!$D$109:$D$133, MATCH(C132, 'General Information'!$C$109:$C$133, 0)) = ""),
   "VALUE INCONSISTENCY",
IFERROR(VLOOKUP(C132, ListOfSitesTable, 5, FALSE), "") &amp; " " &amp;
IFERROR(VLOOKUP(C132, ListOfSitesTable, 4, FALSE), "") &amp; " " &amp;
IFERROR(VLOOKUP(C132, ListOfSitesTable, 2, FALSE), ""))))</f>
        <v/>
      </c>
      <c r="E132" s="682"/>
      <c r="F132" s="683"/>
      <c r="G132" s="733"/>
      <c r="H132" s="734"/>
      <c r="I132" s="735"/>
      <c r="J132" s="167" t="b">
        <v>0</v>
      </c>
      <c r="K132" s="162" t="b">
        <v>0</v>
      </c>
      <c r="L132" s="14" t="str">
        <f t="shared" si="4"/>
        <v/>
      </c>
      <c r="M132" s="7"/>
      <c r="N132" s="7"/>
      <c r="O132" s="7"/>
      <c r="P132" s="7"/>
      <c r="Q132" s="7"/>
    </row>
    <row r="133" spans="3:17" outlineLevel="1" x14ac:dyDescent="0.25">
      <c r="C133" s="155"/>
      <c r="D133" s="681" t="str">
        <f>IF(C133 = "", "",
IF(COUNTIF($C$128:C132, C133), "VALUE INCONSISTENCY",
IF(AND(COUNTIF('General Information'!$C$109:$C$133, C133),
       INDEX('General Information'!$D$109:$D$133, MATCH(C133, 'General Information'!$C$109:$C$133, 0)) = ""),
   "VALUE INCONSISTENCY",
IFERROR(VLOOKUP(C133, ListOfSitesTable, 5, FALSE), "") &amp; " " &amp;
IFERROR(VLOOKUP(C133, ListOfSitesTable, 4, FALSE), "") &amp; " " &amp;
IFERROR(VLOOKUP(C133, ListOfSitesTable, 2, FALSE), ""))))</f>
        <v/>
      </c>
      <c r="E133" s="682"/>
      <c r="F133" s="683"/>
      <c r="G133" s="733"/>
      <c r="H133" s="734"/>
      <c r="I133" s="735"/>
      <c r="J133" s="167" t="b">
        <v>0</v>
      </c>
      <c r="K133" s="162" t="b">
        <v>0</v>
      </c>
      <c r="L133" s="14" t="str">
        <f t="shared" si="4"/>
        <v/>
      </c>
      <c r="M133" s="7"/>
      <c r="N133" s="7"/>
      <c r="O133" s="7"/>
      <c r="P133" s="7"/>
      <c r="Q133" s="7"/>
    </row>
    <row r="134" spans="3:17" outlineLevel="1" x14ac:dyDescent="0.25">
      <c r="C134" s="155"/>
      <c r="D134" s="681" t="str">
        <f>IF(C134 = "", "",
IF(COUNTIF($C$128:C133, C134), "VALUE INCONSISTENCY",
IF(AND(COUNTIF('General Information'!$C$109:$C$133, C134),
       INDEX('General Information'!$D$109:$D$133, MATCH(C134, 'General Information'!$C$109:$C$133, 0)) = ""),
   "VALUE INCONSISTENCY",
IFERROR(VLOOKUP(C134, ListOfSitesTable, 5, FALSE), "") &amp; " " &amp;
IFERROR(VLOOKUP(C134, ListOfSitesTable, 4, FALSE), "") &amp; " " &amp;
IFERROR(VLOOKUP(C134, ListOfSitesTable, 2, FALSE), ""))))</f>
        <v/>
      </c>
      <c r="E134" s="682"/>
      <c r="F134" s="683"/>
      <c r="G134" s="733"/>
      <c r="H134" s="734"/>
      <c r="I134" s="735"/>
      <c r="J134" s="167" t="b">
        <v>0</v>
      </c>
      <c r="K134" s="162" t="b">
        <v>0</v>
      </c>
      <c r="L134" s="14" t="str">
        <f t="shared" si="4"/>
        <v/>
      </c>
      <c r="M134" s="7"/>
      <c r="N134" s="7"/>
      <c r="O134" s="7"/>
      <c r="P134" s="7"/>
      <c r="Q134" s="7"/>
    </row>
    <row r="135" spans="3:17" outlineLevel="1" x14ac:dyDescent="0.25">
      <c r="C135" s="155"/>
      <c r="D135" s="681" t="str">
        <f>IF(C135 = "", "",
IF(COUNTIF($C$128:C134, C135), "VALUE INCONSISTENCY",
IF(AND(COUNTIF('General Information'!$C$109:$C$133, C135),
       INDEX('General Information'!$D$109:$D$133, MATCH(C135, 'General Information'!$C$109:$C$133, 0)) = ""),
   "VALUE INCONSISTENCY",
IFERROR(VLOOKUP(C135, ListOfSitesTable, 5, FALSE), "") &amp; " " &amp;
IFERROR(VLOOKUP(C135, ListOfSitesTable, 4, FALSE), "") &amp; " " &amp;
IFERROR(VLOOKUP(C135, ListOfSitesTable, 2, FALSE), ""))))</f>
        <v/>
      </c>
      <c r="E135" s="682"/>
      <c r="F135" s="683"/>
      <c r="G135" s="733"/>
      <c r="H135" s="734"/>
      <c r="I135" s="735"/>
      <c r="J135" s="167" t="b">
        <v>0</v>
      </c>
      <c r="K135" s="162" t="b">
        <v>0</v>
      </c>
      <c r="L135" s="14" t="str">
        <f t="shared" si="4"/>
        <v/>
      </c>
      <c r="M135" s="7"/>
      <c r="N135" s="7"/>
      <c r="O135" s="7"/>
      <c r="P135" s="7"/>
      <c r="Q135" s="7"/>
    </row>
    <row r="136" spans="3:17" outlineLevel="1" x14ac:dyDescent="0.25">
      <c r="C136" s="155"/>
      <c r="D136" s="681" t="str">
        <f>IF(C136 = "", "",
IF(COUNTIF($C$128:C135, C136), "VALUE INCONSISTENCY",
IF(AND(COUNTIF('General Information'!$C$109:$C$133, C136),
       INDEX('General Information'!$D$109:$D$133, MATCH(C136, 'General Information'!$C$109:$C$133, 0)) = ""),
   "VALUE INCONSISTENCY",
IFERROR(VLOOKUP(C136, ListOfSitesTable, 5, FALSE), "") &amp; " " &amp;
IFERROR(VLOOKUP(C136, ListOfSitesTable, 4, FALSE), "") &amp; " " &amp;
IFERROR(VLOOKUP(C136, ListOfSitesTable, 2, FALSE), ""))))</f>
        <v/>
      </c>
      <c r="E136" s="682"/>
      <c r="F136" s="683"/>
      <c r="G136" s="733"/>
      <c r="H136" s="734"/>
      <c r="I136" s="735"/>
      <c r="J136" s="167" t="b">
        <v>0</v>
      </c>
      <c r="K136" s="162" t="b">
        <v>0</v>
      </c>
      <c r="L136" s="14" t="str">
        <f t="shared" si="4"/>
        <v/>
      </c>
      <c r="M136" s="7"/>
      <c r="N136" s="7"/>
      <c r="O136" s="7"/>
      <c r="P136" s="7"/>
      <c r="Q136" s="7"/>
    </row>
    <row r="137" spans="3:17" outlineLevel="1" x14ac:dyDescent="0.25">
      <c r="C137" s="155"/>
      <c r="D137" s="681" t="str">
        <f>IF(C137 = "", "",
IF(COUNTIF($C$128:C136, C137), "VALUE INCONSISTENCY",
IF(AND(COUNTIF('General Information'!$C$109:$C$133, C137),
       INDEX('General Information'!$D$109:$D$133, MATCH(C137, 'General Information'!$C$109:$C$133, 0)) = ""),
   "VALUE INCONSISTENCY",
IFERROR(VLOOKUP(C137, ListOfSitesTable, 5, FALSE), "") &amp; " " &amp;
IFERROR(VLOOKUP(C137, ListOfSitesTable, 4, FALSE), "") &amp; " " &amp;
IFERROR(VLOOKUP(C137, ListOfSitesTable, 2, FALSE), ""))))</f>
        <v/>
      </c>
      <c r="E137" s="682"/>
      <c r="F137" s="683"/>
      <c r="G137" s="733"/>
      <c r="H137" s="734"/>
      <c r="I137" s="735"/>
      <c r="J137" s="167" t="b">
        <v>0</v>
      </c>
      <c r="K137" s="162" t="b">
        <v>0</v>
      </c>
      <c r="L137" s="14" t="str">
        <f t="shared" si="4"/>
        <v/>
      </c>
      <c r="M137" s="7"/>
      <c r="N137" s="7"/>
      <c r="O137" s="7"/>
      <c r="P137" s="7"/>
      <c r="Q137" s="7"/>
    </row>
    <row r="138" spans="3:17" outlineLevel="1" x14ac:dyDescent="0.25">
      <c r="C138" s="155"/>
      <c r="D138" s="681" t="str">
        <f>IF(C138 = "", "",
IF(COUNTIF($C$128:C137, C138), "VALUE INCONSISTENCY",
IF(AND(COUNTIF('General Information'!$C$109:$C$133, C138),
       INDEX('General Information'!$D$109:$D$133, MATCH(C138, 'General Information'!$C$109:$C$133, 0)) = ""),
   "VALUE INCONSISTENCY",
IFERROR(VLOOKUP(C138, ListOfSitesTable, 5, FALSE), "") &amp; " " &amp;
IFERROR(VLOOKUP(C138, ListOfSitesTable, 4, FALSE), "") &amp; " " &amp;
IFERROR(VLOOKUP(C138, ListOfSitesTable, 2, FALSE), ""))))</f>
        <v/>
      </c>
      <c r="E138" s="682"/>
      <c r="F138" s="683"/>
      <c r="G138" s="733"/>
      <c r="H138" s="734"/>
      <c r="I138" s="735"/>
      <c r="J138" s="167" t="b">
        <v>0</v>
      </c>
      <c r="K138" s="162" t="b">
        <v>0</v>
      </c>
      <c r="L138" s="14" t="str">
        <f t="shared" si="4"/>
        <v/>
      </c>
      <c r="M138" s="7"/>
      <c r="N138" s="7"/>
      <c r="O138" s="7"/>
      <c r="P138" s="7"/>
      <c r="Q138" s="7"/>
    </row>
    <row r="139" spans="3:17" outlineLevel="1" x14ac:dyDescent="0.25">
      <c r="C139" s="155"/>
      <c r="D139" s="681" t="str">
        <f>IF(C139 = "", "",
IF(COUNTIF($C$128:C138, C139), "VALUE INCONSISTENCY",
IF(AND(COUNTIF('General Information'!$C$109:$C$133, C139),
       INDEX('General Information'!$D$109:$D$133, MATCH(C139, 'General Information'!$C$109:$C$133, 0)) = ""),
   "VALUE INCONSISTENCY",
IFERROR(VLOOKUP(C139, ListOfSitesTable, 5, FALSE), "") &amp; " " &amp;
IFERROR(VLOOKUP(C139, ListOfSitesTable, 4, FALSE), "") &amp; " " &amp;
IFERROR(VLOOKUP(C139, ListOfSitesTable, 2, FALSE), ""))))</f>
        <v/>
      </c>
      <c r="E139" s="682"/>
      <c r="F139" s="683"/>
      <c r="G139" s="733"/>
      <c r="H139" s="734"/>
      <c r="I139" s="735"/>
      <c r="J139" s="167" t="b">
        <v>0</v>
      </c>
      <c r="K139" s="162" t="b">
        <v>0</v>
      </c>
      <c r="L139" s="14" t="str">
        <f t="shared" si="4"/>
        <v/>
      </c>
      <c r="M139" s="7"/>
      <c r="N139" s="7"/>
      <c r="O139" s="7"/>
      <c r="P139" s="7"/>
      <c r="Q139" s="7"/>
    </row>
    <row r="140" spans="3:17" outlineLevel="1" x14ac:dyDescent="0.25">
      <c r="C140" s="155"/>
      <c r="D140" s="681" t="str">
        <f>IF(C140 = "", "",
IF(COUNTIF($C$128:C139, C140), "VALUE INCONSISTENCY",
IF(AND(COUNTIF('General Information'!$C$109:$C$133, C140),
       INDEX('General Information'!$D$109:$D$133, MATCH(C140, 'General Information'!$C$109:$C$133, 0)) = ""),
   "VALUE INCONSISTENCY",
IFERROR(VLOOKUP(C140, ListOfSitesTable, 5, FALSE), "") &amp; " " &amp;
IFERROR(VLOOKUP(C140, ListOfSitesTable, 4, FALSE), "") &amp; " " &amp;
IFERROR(VLOOKUP(C140, ListOfSitesTable, 2, FALSE), ""))))</f>
        <v/>
      </c>
      <c r="E140" s="682"/>
      <c r="F140" s="683"/>
      <c r="G140" s="733"/>
      <c r="H140" s="734"/>
      <c r="I140" s="735"/>
      <c r="J140" s="167" t="b">
        <v>0</v>
      </c>
      <c r="K140" s="162" t="b">
        <v>0</v>
      </c>
      <c r="L140" s="14" t="str">
        <f t="shared" si="4"/>
        <v/>
      </c>
      <c r="M140" s="7"/>
      <c r="N140" s="7"/>
      <c r="O140" s="7"/>
      <c r="P140" s="7"/>
      <c r="Q140" s="7"/>
    </row>
    <row r="141" spans="3:17" outlineLevel="1" x14ac:dyDescent="0.25">
      <c r="C141" s="155"/>
      <c r="D141" s="681" t="str">
        <f>IF(C141 = "", "",
IF(COUNTIF($C$128:C140, C141), "VALUE INCONSISTENCY",
IF(AND(COUNTIF('General Information'!$C$109:$C$133, C141),
       INDEX('General Information'!$D$109:$D$133, MATCH(C141, 'General Information'!$C$109:$C$133, 0)) = ""),
   "VALUE INCONSISTENCY",
IFERROR(VLOOKUP(C141, ListOfSitesTable, 5, FALSE), "") &amp; " " &amp;
IFERROR(VLOOKUP(C141, ListOfSitesTable, 4, FALSE), "") &amp; " " &amp;
IFERROR(VLOOKUP(C141, ListOfSitesTable, 2, FALSE), ""))))</f>
        <v/>
      </c>
      <c r="E141" s="682"/>
      <c r="F141" s="683"/>
      <c r="G141" s="733"/>
      <c r="H141" s="734"/>
      <c r="I141" s="735"/>
      <c r="J141" s="167" t="b">
        <v>0</v>
      </c>
      <c r="K141" s="162" t="b">
        <v>0</v>
      </c>
      <c r="L141" s="14" t="str">
        <f t="shared" si="4"/>
        <v/>
      </c>
      <c r="M141" s="7"/>
      <c r="N141" s="7"/>
      <c r="O141" s="7"/>
      <c r="P141" s="7"/>
      <c r="Q141" s="7"/>
    </row>
    <row r="142" spans="3:17" outlineLevel="1" x14ac:dyDescent="0.25">
      <c r="C142" s="155"/>
      <c r="D142" s="681" t="str">
        <f>IF(C142 = "", "",
IF(COUNTIF($C$128:C141, C142), "VALUE INCONSISTENCY",
IF(AND(COUNTIF('General Information'!$C$109:$C$133, C142),
       INDEX('General Information'!$D$109:$D$133, MATCH(C142, 'General Information'!$C$109:$C$133, 0)) = ""),
   "VALUE INCONSISTENCY",
IFERROR(VLOOKUP(C142, ListOfSitesTable, 5, FALSE), "") &amp; " " &amp;
IFERROR(VLOOKUP(C142, ListOfSitesTable, 4, FALSE), "") &amp; " " &amp;
IFERROR(VLOOKUP(C142, ListOfSitesTable, 2, FALSE), ""))))</f>
        <v/>
      </c>
      <c r="E142" s="682"/>
      <c r="F142" s="683"/>
      <c r="G142" s="733"/>
      <c r="H142" s="734"/>
      <c r="I142" s="735"/>
      <c r="J142" s="167" t="b">
        <v>0</v>
      </c>
      <c r="K142" s="162" t="b">
        <v>0</v>
      </c>
      <c r="L142" s="14" t="str">
        <f t="shared" si="4"/>
        <v/>
      </c>
      <c r="M142" s="7"/>
      <c r="N142" s="7"/>
      <c r="O142" s="7"/>
      <c r="P142" s="7"/>
      <c r="Q142" s="7"/>
    </row>
    <row r="143" spans="3:17" outlineLevel="1" x14ac:dyDescent="0.25">
      <c r="C143" s="155"/>
      <c r="D143" s="681" t="str">
        <f>IF(C143 = "", "",
IF(COUNTIF($C$128:C142, C143), "VALUE INCONSISTENCY",
IF(AND(COUNTIF('General Information'!$C$109:$C$133, C143),
       INDEX('General Information'!$D$109:$D$133, MATCH(C143, 'General Information'!$C$109:$C$133, 0)) = ""),
   "VALUE INCONSISTENCY",
IFERROR(VLOOKUP(C143, ListOfSitesTable, 5, FALSE), "") &amp; " " &amp;
IFERROR(VLOOKUP(C143, ListOfSitesTable, 4, FALSE), "") &amp; " " &amp;
IFERROR(VLOOKUP(C143, ListOfSitesTable, 2, FALSE), ""))))</f>
        <v/>
      </c>
      <c r="E143" s="682"/>
      <c r="F143" s="683"/>
      <c r="G143" s="733"/>
      <c r="H143" s="734"/>
      <c r="I143" s="735"/>
      <c r="J143" s="167" t="b">
        <v>0</v>
      </c>
      <c r="K143" s="162" t="b">
        <v>0</v>
      </c>
      <c r="L143" s="14" t="str">
        <f t="shared" si="4"/>
        <v/>
      </c>
      <c r="M143" s="7"/>
      <c r="N143" s="7"/>
      <c r="O143" s="7"/>
      <c r="P143" s="7"/>
      <c r="Q143" s="7"/>
    </row>
    <row r="144" spans="3:17" outlineLevel="1" x14ac:dyDescent="0.25">
      <c r="C144" s="155"/>
      <c r="D144" s="681" t="str">
        <f>IF(C144 = "", "",
IF(COUNTIF($C$128:C143, C144), "VALUE INCONSISTENCY",
IF(AND(COUNTIF('General Information'!$C$109:$C$133, C144),
       INDEX('General Information'!$D$109:$D$133, MATCH(C144, 'General Information'!$C$109:$C$133, 0)) = ""),
   "VALUE INCONSISTENCY",
IFERROR(VLOOKUP(C144, ListOfSitesTable, 5, FALSE), "") &amp; " " &amp;
IFERROR(VLOOKUP(C144, ListOfSitesTable, 4, FALSE), "") &amp; " " &amp;
IFERROR(VLOOKUP(C144, ListOfSitesTable, 2, FALSE), ""))))</f>
        <v/>
      </c>
      <c r="E144" s="682"/>
      <c r="F144" s="683"/>
      <c r="G144" s="733"/>
      <c r="H144" s="734"/>
      <c r="I144" s="735"/>
      <c r="J144" s="167" t="b">
        <v>0</v>
      </c>
      <c r="K144" s="162" t="b">
        <v>0</v>
      </c>
      <c r="L144" s="14" t="str">
        <f t="shared" si="4"/>
        <v/>
      </c>
      <c r="M144" s="7"/>
      <c r="N144" s="7"/>
      <c r="O144" s="7"/>
      <c r="P144" s="7"/>
      <c r="Q144" s="7"/>
    </row>
    <row r="145" spans="3:17" outlineLevel="1" x14ac:dyDescent="0.25">
      <c r="C145" s="155"/>
      <c r="D145" s="681" t="str">
        <f>IF(C145 = "", "",
IF(COUNTIF($C$128:C144, C145), "VALUE INCONSISTENCY",
IF(AND(COUNTIF('General Information'!$C$109:$C$133, C145),
       INDEX('General Information'!$D$109:$D$133, MATCH(C145, 'General Information'!$C$109:$C$133, 0)) = ""),
   "VALUE INCONSISTENCY",
IFERROR(VLOOKUP(C145, ListOfSitesTable, 5, FALSE), "") &amp; " " &amp;
IFERROR(VLOOKUP(C145, ListOfSitesTable, 4, FALSE), "") &amp; " " &amp;
IFERROR(VLOOKUP(C145, ListOfSitesTable, 2, FALSE), ""))))</f>
        <v/>
      </c>
      <c r="E145" s="682"/>
      <c r="F145" s="683"/>
      <c r="G145" s="733"/>
      <c r="H145" s="734"/>
      <c r="I145" s="735"/>
      <c r="J145" s="167" t="b">
        <v>0</v>
      </c>
      <c r="K145" s="162" t="b">
        <v>0</v>
      </c>
      <c r="L145" s="14" t="str">
        <f t="shared" si="4"/>
        <v/>
      </c>
      <c r="M145" s="7"/>
      <c r="N145" s="7"/>
      <c r="O145" s="7"/>
      <c r="P145" s="7"/>
      <c r="Q145" s="7"/>
    </row>
    <row r="146" spans="3:17" outlineLevel="1" x14ac:dyDescent="0.25">
      <c r="C146" s="155"/>
      <c r="D146" s="681" t="str">
        <f>IF(C146 = "", "",
IF(COUNTIF($C$128:C145, C146), "VALUE INCONSISTENCY",
IF(AND(COUNTIF('General Information'!$C$109:$C$133, C146),
       INDEX('General Information'!$D$109:$D$133, MATCH(C146, 'General Information'!$C$109:$C$133, 0)) = ""),
   "VALUE INCONSISTENCY",
IFERROR(VLOOKUP(C146, ListOfSitesTable, 5, FALSE), "") &amp; " " &amp;
IFERROR(VLOOKUP(C146, ListOfSitesTable, 4, FALSE), "") &amp; " " &amp;
IFERROR(VLOOKUP(C146, ListOfSitesTable, 2, FALSE), ""))))</f>
        <v/>
      </c>
      <c r="E146" s="682"/>
      <c r="F146" s="683"/>
      <c r="G146" s="733"/>
      <c r="H146" s="734"/>
      <c r="I146" s="735"/>
      <c r="J146" s="167" t="b">
        <v>0</v>
      </c>
      <c r="K146" s="162" t="b">
        <v>0</v>
      </c>
      <c r="L146" s="14" t="str">
        <f t="shared" si="4"/>
        <v/>
      </c>
      <c r="M146" s="7"/>
      <c r="N146" s="7"/>
      <c r="O146" s="7"/>
      <c r="P146" s="7"/>
      <c r="Q146" s="7"/>
    </row>
    <row r="147" spans="3:17" outlineLevel="1" x14ac:dyDescent="0.25">
      <c r="C147" s="155"/>
      <c r="D147" s="681" t="str">
        <f>IF(C147 = "", "",
IF(COUNTIF($C$128:C146, C147), "VALUE INCONSISTENCY",
IF(AND(COUNTIF('General Information'!$C$109:$C$133, C147),
       INDEX('General Information'!$D$109:$D$133, MATCH(C147, 'General Information'!$C$109:$C$133, 0)) = ""),
   "VALUE INCONSISTENCY",
IFERROR(VLOOKUP(C147, ListOfSitesTable, 5, FALSE), "") &amp; " " &amp;
IFERROR(VLOOKUP(C147, ListOfSitesTable, 4, FALSE), "") &amp; " " &amp;
IFERROR(VLOOKUP(C147, ListOfSitesTable, 2, FALSE), ""))))</f>
        <v/>
      </c>
      <c r="E147" s="682"/>
      <c r="F147" s="683"/>
      <c r="G147" s="733"/>
      <c r="H147" s="734"/>
      <c r="I147" s="735"/>
      <c r="J147" s="167" t="b">
        <v>0</v>
      </c>
      <c r="K147" s="162" t="b">
        <v>0</v>
      </c>
      <c r="L147" s="14" t="str">
        <f t="shared" si="4"/>
        <v/>
      </c>
      <c r="M147" s="7"/>
      <c r="N147" s="7"/>
      <c r="O147" s="7"/>
      <c r="P147" s="7"/>
      <c r="Q147" s="7"/>
    </row>
    <row r="148" spans="3:17" outlineLevel="1" x14ac:dyDescent="0.25">
      <c r="C148" s="155"/>
      <c r="D148" s="681" t="str">
        <f>IF(C148 = "", "",
IF(COUNTIF($C$128:C147, C148), "VALUE INCONSISTENCY",
IF(AND(COUNTIF('General Information'!$C$109:$C$133, C148),
       INDEX('General Information'!$D$109:$D$133, MATCH(C148, 'General Information'!$C$109:$C$133, 0)) = ""),
   "VALUE INCONSISTENCY",
IFERROR(VLOOKUP(C148, ListOfSitesTable, 5, FALSE), "") &amp; " " &amp;
IFERROR(VLOOKUP(C148, ListOfSitesTable, 4, FALSE), "") &amp; " " &amp;
IFERROR(VLOOKUP(C148, ListOfSitesTable, 2, FALSE), ""))))</f>
        <v/>
      </c>
      <c r="E148" s="682"/>
      <c r="F148" s="683"/>
      <c r="G148" s="733"/>
      <c r="H148" s="734"/>
      <c r="I148" s="735"/>
      <c r="J148" s="167" t="b">
        <v>0</v>
      </c>
      <c r="K148" s="162" t="b">
        <v>0</v>
      </c>
      <c r="L148" s="14" t="str">
        <f t="shared" si="4"/>
        <v/>
      </c>
      <c r="M148" s="7"/>
      <c r="N148" s="7"/>
      <c r="O148" s="7"/>
      <c r="P148" s="7"/>
      <c r="Q148" s="7"/>
    </row>
    <row r="149" spans="3:17" outlineLevel="1" x14ac:dyDescent="0.25">
      <c r="C149" s="155"/>
      <c r="D149" s="681" t="str">
        <f>IF(C149 = "", "",
IF(COUNTIF($C$128:C148, C149), "VALUE INCONSISTENCY",
IF(AND(COUNTIF('General Information'!$C$109:$C$133, C149),
       INDEX('General Information'!$D$109:$D$133, MATCH(C149, 'General Information'!$C$109:$C$133, 0)) = ""),
   "VALUE INCONSISTENCY",
IFERROR(VLOOKUP(C149, ListOfSitesTable, 5, FALSE), "") &amp; " " &amp;
IFERROR(VLOOKUP(C149, ListOfSitesTable, 4, FALSE), "") &amp; " " &amp;
IFERROR(VLOOKUP(C149, ListOfSitesTable, 2, FALSE), ""))))</f>
        <v/>
      </c>
      <c r="E149" s="682"/>
      <c r="F149" s="683"/>
      <c r="G149" s="733"/>
      <c r="H149" s="734"/>
      <c r="I149" s="735"/>
      <c r="J149" s="167" t="b">
        <v>0</v>
      </c>
      <c r="K149" s="162" t="b">
        <v>0</v>
      </c>
      <c r="L149" s="14" t="str">
        <f t="shared" si="4"/>
        <v/>
      </c>
      <c r="M149" s="7"/>
      <c r="N149" s="7"/>
      <c r="O149" s="7"/>
      <c r="P149" s="7"/>
      <c r="Q149" s="7"/>
    </row>
    <row r="150" spans="3:17" outlineLevel="1" x14ac:dyDescent="0.25">
      <c r="C150" s="155"/>
      <c r="D150" s="681" t="str">
        <f>IF(C150 = "", "",
IF(COUNTIF($C$128:C149, C150), "VALUE INCONSISTENCY",
IF(AND(COUNTIF('General Information'!$C$109:$C$133, C150),
       INDEX('General Information'!$D$109:$D$133, MATCH(C150, 'General Information'!$C$109:$C$133, 0)) = ""),
   "VALUE INCONSISTENCY",
IFERROR(VLOOKUP(C150, ListOfSitesTable, 5, FALSE), "") &amp; " " &amp;
IFERROR(VLOOKUP(C150, ListOfSitesTable, 4, FALSE), "") &amp; " " &amp;
IFERROR(VLOOKUP(C150, ListOfSitesTable, 2, FALSE), ""))))</f>
        <v/>
      </c>
      <c r="E150" s="682"/>
      <c r="F150" s="683"/>
      <c r="G150" s="733"/>
      <c r="H150" s="734"/>
      <c r="I150" s="735"/>
      <c r="J150" s="167" t="b">
        <v>0</v>
      </c>
      <c r="K150" s="162" t="b">
        <v>0</v>
      </c>
      <c r="L150" s="14" t="str">
        <f t="shared" si="4"/>
        <v/>
      </c>
      <c r="M150" s="7"/>
      <c r="N150" s="7"/>
      <c r="O150" s="7"/>
      <c r="P150" s="7"/>
      <c r="Q150" s="7"/>
    </row>
    <row r="151" spans="3:17" outlineLevel="1" x14ac:dyDescent="0.25">
      <c r="C151" s="155"/>
      <c r="D151" s="681" t="str">
        <f>IF(C151 = "", "",
IF(COUNTIF($C$128:C150, C151), "VALUE INCONSISTENCY",
IF(AND(COUNTIF('General Information'!$C$109:$C$133, C151),
       INDEX('General Information'!$D$109:$D$133, MATCH(C151, 'General Information'!$C$109:$C$133, 0)) = ""),
   "VALUE INCONSISTENCY",
IFERROR(VLOOKUP(C151, ListOfSitesTable, 5, FALSE), "") &amp; " " &amp;
IFERROR(VLOOKUP(C151, ListOfSitesTable, 4, FALSE), "") &amp; " " &amp;
IFERROR(VLOOKUP(C151, ListOfSitesTable, 2, FALSE), ""))))</f>
        <v/>
      </c>
      <c r="E151" s="682"/>
      <c r="F151" s="683"/>
      <c r="G151" s="733"/>
      <c r="H151" s="734"/>
      <c r="I151" s="735"/>
      <c r="J151" s="167" t="b">
        <v>0</v>
      </c>
      <c r="K151" s="162" t="b">
        <v>0</v>
      </c>
      <c r="L151" s="14" t="str">
        <f t="shared" si="4"/>
        <v/>
      </c>
      <c r="M151" s="7"/>
      <c r="N151" s="7"/>
      <c r="O151" s="7"/>
      <c r="P151" s="7"/>
      <c r="Q151" s="7"/>
    </row>
    <row r="152" spans="3:17" outlineLevel="1" x14ac:dyDescent="0.25">
      <c r="C152" s="155"/>
      <c r="D152" s="681" t="str">
        <f>IF(C152 = "", "",
IF(COUNTIF($C$128:C151, C152), "VALUE INCONSISTENCY",
IF(AND(COUNTIF('General Information'!$C$109:$C$133, C152),
       INDEX('General Information'!$D$109:$D$133, MATCH(C152, 'General Information'!$C$109:$C$133, 0)) = ""),
   "VALUE INCONSISTENCY",
IFERROR(VLOOKUP(C152, ListOfSitesTable, 5, FALSE), "") &amp; " " &amp;
IFERROR(VLOOKUP(C152, ListOfSitesTable, 4, FALSE), "") &amp; " " &amp;
IFERROR(VLOOKUP(C152, ListOfSitesTable, 2, FALSE), ""))))</f>
        <v/>
      </c>
      <c r="E152" s="682"/>
      <c r="F152" s="683"/>
      <c r="G152" s="857"/>
      <c r="H152" s="734"/>
      <c r="I152" s="735"/>
      <c r="J152" s="167" t="b">
        <v>0</v>
      </c>
      <c r="K152" s="162" t="b">
        <v>0</v>
      </c>
      <c r="L152" s="14" t="str">
        <f t="shared" si="4"/>
        <v/>
      </c>
      <c r="M152" s="7"/>
      <c r="N152" s="7"/>
      <c r="O152" s="7"/>
      <c r="P152" s="7"/>
      <c r="Q152" s="7"/>
    </row>
    <row r="153" spans="3:17" ht="15.75" outlineLevel="1" thickBot="1" x14ac:dyDescent="0.3">
      <c r="C153" s="158"/>
      <c r="D153" s="681" t="str">
        <f>IF(C153 = "", "",
IF(COUNTIF($C$128:C152, C153), "VALUE INCONSISTENCY",
IF(AND(COUNTIF('General Information'!$C$109:$C$133, C153),
       INDEX('General Information'!$D$109:$D$133, MATCH(C153, 'General Information'!$C$109:$C$133, 0)) = ""),
   "VALUE INCONSISTENCY",
IFERROR(VLOOKUP(C153, ListOfSitesTable, 5, FALSE), "") &amp; " " &amp;
IFERROR(VLOOKUP(C153, ListOfSitesTable, 4, FALSE), "") &amp; " " &amp;
IFERROR(VLOOKUP(C153, ListOfSitesTable, 2, FALSE), ""))))</f>
        <v/>
      </c>
      <c r="E153" s="682"/>
      <c r="F153" s="683"/>
      <c r="G153" s="756"/>
      <c r="H153" s="757"/>
      <c r="I153" s="758"/>
      <c r="J153" s="168" t="b">
        <v>0</v>
      </c>
      <c r="K153" s="163" t="b">
        <v>0</v>
      </c>
      <c r="L153" s="14" t="str">
        <f t="shared" si="4"/>
        <v/>
      </c>
      <c r="M153" s="7"/>
      <c r="N153" s="7"/>
      <c r="O153" s="7"/>
      <c r="P153" s="7"/>
      <c r="Q153" s="7"/>
    </row>
    <row r="154" spans="3:17" ht="15.75" thickBot="1" x14ac:dyDescent="0.3">
      <c r="D154" s="11"/>
      <c r="E154" s="11"/>
      <c r="F154" s="11"/>
      <c r="H154" s="11"/>
      <c r="I154" s="11"/>
      <c r="J154" s="11"/>
    </row>
    <row r="155" spans="3:17" x14ac:dyDescent="0.25">
      <c r="C155" s="705" t="str">
        <f>template_label_b5_biodiversity_land_use&amp;" "&amp;template_label_from&amp;" "&amp;template_starting_date_display&amp;" "&amp;template_label_to&amp;" "&amp;template_ending_date_display&amp;" " &amp; template_label_may</f>
        <v>B5 - Biodiversity - Land-use from 2025-01-01 to 2025-12-31 [May (optional)]</v>
      </c>
      <c r="D155" s="706"/>
      <c r="E155" s="706"/>
      <c r="F155" s="707"/>
    </row>
    <row r="156" spans="3:17" x14ac:dyDescent="0.25">
      <c r="C156" s="386">
        <v>34</v>
      </c>
      <c r="D156" s="387"/>
      <c r="E156" s="387"/>
      <c r="F156" s="388"/>
    </row>
    <row r="157" spans="3:17" x14ac:dyDescent="0.25">
      <c r="C157" s="389" t="s">
        <v>124</v>
      </c>
      <c r="D157" s="390"/>
      <c r="E157" s="390"/>
      <c r="F157" s="391"/>
    </row>
    <row r="158" spans="3:17" ht="17.100000000000001" customHeight="1" x14ac:dyDescent="0.25">
      <c r="C158" s="759" t="str">
        <f>template_label_please_select_the_unit_used_for_the_area</f>
        <v>Please select the unit used for the area (i.e. either hectares or m²):</v>
      </c>
      <c r="D158" s="760"/>
      <c r="E158" s="760"/>
      <c r="F158" s="761"/>
    </row>
    <row r="159" spans="3:17" x14ac:dyDescent="0.25">
      <c r="C159" s="762"/>
      <c r="D159" s="621"/>
      <c r="E159" s="621"/>
      <c r="F159" s="622"/>
      <c r="G159" s="13" t="str">
        <f>IF(C159&lt;&gt;"", template_label_ok, IF(AND(OR(D161&lt;&gt;"", D162&lt;&gt;"", D163&lt;&gt;"", D164&lt;&gt;""), C159=""), template_label_missing_value, ""))</f>
        <v/>
      </c>
      <c r="H159" s="88"/>
      <c r="K159" s="13"/>
    </row>
    <row r="160" spans="3:17" x14ac:dyDescent="0.25">
      <c r="C160" s="89" t="str">
        <f>template_label_land_use_type</f>
        <v>Land-use type</v>
      </c>
      <c r="D160" s="760" t="str">
        <f>template_label_area</f>
        <v>Area</v>
      </c>
      <c r="E160" s="760"/>
      <c r="F160" s="761"/>
      <c r="G160" s="13"/>
      <c r="H160" s="88"/>
      <c r="K160" s="13"/>
    </row>
    <row r="161" spans="3:12" x14ac:dyDescent="0.25">
      <c r="C161" s="92" t="str">
        <f>template_label_total_sealed_area</f>
        <v>Total sealed area</v>
      </c>
      <c r="D161" s="875"/>
      <c r="E161" s="875"/>
      <c r="F161" s="876"/>
      <c r="G161" s="672" t="str">
        <f>IF(AND(G159=template_label_ok, COUNTIF(D161:F164,"&lt;&gt;")&gt;0),
    template_label_ok,
    IF(AND(G159=template_label_ok, COUNTA(D161:F164)=0),
        template_label_missing_value,
        IF(AND(G159=template_label_missing_value, COUNTIF(D161:F164,"&lt;&gt;")&gt;0),
            template_label_value_inconsistency,
            ""
        )
    )
)</f>
        <v/>
      </c>
      <c r="H161" s="91"/>
      <c r="K161" s="13"/>
    </row>
    <row r="162" spans="3:12" x14ac:dyDescent="0.25">
      <c r="C162" s="92" t="str">
        <f>template_label_total_nature_oriented_area_on_site</f>
        <v>Total nature-oriented area on-site</v>
      </c>
      <c r="D162" s="875"/>
      <c r="E162" s="875"/>
      <c r="F162" s="876"/>
      <c r="G162" s="672"/>
      <c r="H162" s="91"/>
      <c r="K162" s="13"/>
    </row>
    <row r="163" spans="3:12" x14ac:dyDescent="0.25">
      <c r="C163" s="92" t="str">
        <f>template_label_total_nature_oriented_area_off_site</f>
        <v>Total nature-oriented area off-site</v>
      </c>
      <c r="D163" s="875"/>
      <c r="E163" s="875"/>
      <c r="F163" s="876"/>
      <c r="G163" s="672"/>
      <c r="H163" s="91"/>
      <c r="K163" s="13"/>
    </row>
    <row r="164" spans="3:12" ht="15.75" thickBot="1" x14ac:dyDescent="0.3">
      <c r="C164" s="79" t="str">
        <f>template_label_total_use_of_land</f>
        <v>Total use of land</v>
      </c>
      <c r="D164" s="900"/>
      <c r="E164" s="900"/>
      <c r="F164" s="901"/>
      <c r="G164" s="672"/>
      <c r="H164" s="91"/>
      <c r="K164" s="13"/>
    </row>
    <row r="165" spans="3:12" ht="15.75" thickBot="1" x14ac:dyDescent="0.3"/>
    <row r="166" spans="3:12" x14ac:dyDescent="0.25">
      <c r="C166" s="571" t="str">
        <f>template_label_b6_water_withdrawal&amp;" "&amp;template_label_from&amp;" "&amp;template_starting_date_display&amp;" "&amp;template_label_to&amp;" "&amp;template_ending_date_display&amp;" "&amp;template_label_always_to_be_reported</f>
        <v>B6 - Water Withdrawal from 2025-01-01 to 2025-12-31 [Always to be reported]</v>
      </c>
      <c r="D166" s="861"/>
      <c r="E166" s="12"/>
      <c r="F166" s="12"/>
      <c r="G166" s="13"/>
      <c r="H166" s="13"/>
      <c r="I166" s="13"/>
      <c r="K166" s="13"/>
    </row>
    <row r="167" spans="3:12" x14ac:dyDescent="0.25">
      <c r="C167" s="353">
        <v>35</v>
      </c>
      <c r="D167" s="837"/>
      <c r="E167" s="93"/>
      <c r="F167" s="93"/>
      <c r="G167" s="13"/>
      <c r="H167" s="13"/>
      <c r="I167" s="13"/>
    </row>
    <row r="168" spans="3:12" x14ac:dyDescent="0.25">
      <c r="C168" s="356" t="s">
        <v>125</v>
      </c>
      <c r="D168" s="771"/>
      <c r="E168" s="94"/>
      <c r="F168" s="94"/>
      <c r="G168" s="13"/>
      <c r="H168" s="13"/>
      <c r="I168" s="13"/>
      <c r="K168" s="19"/>
      <c r="L168" s="19"/>
    </row>
    <row r="169" spans="3:12" x14ac:dyDescent="0.25">
      <c r="C169" s="65" t="str">
        <f>template_label_total_amount_of_water_withdrawn_from_all_sites</f>
        <v>Total amount of water withdrawn from all sites (cubic meters m³)</v>
      </c>
      <c r="D169" s="197">
        <v>0</v>
      </c>
      <c r="E169" s="864" t="str">
        <f>IF(
    AND(
        OR(
            'General Information'!E32="Option A (Basic Module only)",
            'General Information'!E32="Option B (Basic Module and Comprehensive Module)"
        ),
        TotalAmountOfWaterWithdrawnFromAllSites=""
    ),
    template_label_missing_value,
    IF('General Information'!E32="", "", template_label_ok)
)</f>
        <v>OK</v>
      </c>
      <c r="F169" s="865"/>
      <c r="G169" s="13"/>
      <c r="H169" s="13"/>
      <c r="I169" s="13"/>
    </row>
    <row r="170" spans="3:12" ht="30.75" thickBot="1" x14ac:dyDescent="0.3">
      <c r="C170" s="95" t="str">
        <f>template_label_amount_of_water_withdrawn_at_sites_located_in_areas_of_high_water_stress</f>
        <v>Amount of water withdrawn at sites located in areas of high water-stress (cubic meters m³)</v>
      </c>
      <c r="D170" s="198">
        <v>0</v>
      </c>
      <c r="E170" s="902" t="str">
        <f>IF(
    AND(
        OR(
            'General Information'!E32="Option A (Basic Module only)",
            'General Information'!E32="Option B (Basic Module and Comprehensive Module)"
        ),
        AmountOfWaterWithdrawnAtSitesLocatedInAreasOfHighWaterStress=""
    ),
    template_label_missing_value,
    IF('General Information'!E32="", "", template_label_ok)
)</f>
        <v>OK</v>
      </c>
      <c r="F170" s="863"/>
      <c r="G170" s="13"/>
      <c r="H170" s="13"/>
      <c r="I170" s="13"/>
    </row>
    <row r="171" spans="3:12" ht="15.75" thickBot="1" x14ac:dyDescent="0.3">
      <c r="K171" s="18"/>
    </row>
    <row r="172" spans="3:12" x14ac:dyDescent="0.25">
      <c r="C172" s="571" t="str">
        <f>template_label_b6_water_consumption&amp;" "&amp;template_label_from&amp;" "&amp;template_starting_date_display&amp;" "&amp;template_label_to&amp;" "&amp;template_ending_date_display&amp;" "&amp;template_label_if_applicable</f>
        <v>B6 - Water Consumption from 2025-01-01 to 2025-12-31 [If applicable]</v>
      </c>
      <c r="D172" s="861"/>
      <c r="E172" s="12"/>
      <c r="F172" s="12"/>
    </row>
    <row r="173" spans="3:12" x14ac:dyDescent="0.25">
      <c r="C173" s="386">
        <v>36</v>
      </c>
      <c r="D173" s="388"/>
      <c r="E173" s="93"/>
      <c r="F173" s="93"/>
    </row>
    <row r="174" spans="3:12" x14ac:dyDescent="0.25">
      <c r="C174" s="356" t="s">
        <v>126</v>
      </c>
      <c r="D174" s="358"/>
      <c r="E174" s="94"/>
      <c r="F174" s="94"/>
    </row>
    <row r="175" spans="3:12" ht="50.85" customHeight="1" x14ac:dyDescent="0.25">
      <c r="C175" s="97" t="str">
        <f>template_label_does_the_undertaking_have_production_processes_in_place_which_significantly_consume_water</f>
        <v>Does the undertaking have production processes in place which significantly consume water (e.g. thermal energy processes like drying or power production production of goods agricultural irrigation etc.)?</v>
      </c>
      <c r="D175" s="112" t="b">
        <v>0</v>
      </c>
      <c r="E175" s="96"/>
      <c r="F175" s="96"/>
      <c r="G175" s="13"/>
      <c r="H175" s="13"/>
      <c r="I175" s="13"/>
    </row>
    <row r="176" spans="3:12" ht="15.75" thickBot="1" x14ac:dyDescent="0.3">
      <c r="C176" s="95" t="str">
        <f>template_label_water_discharge_from_undertaking_production_processes</f>
        <v>Water discharge from undertaking production processes (m³)</v>
      </c>
      <c r="D176" s="214"/>
      <c r="E176" s="863" t="str">
        <f>IF(
    AND(D175=TRUE, D176=""),
    template_label_missing_value,
    IF(AND(D175=TRUE, D176&lt;&gt;""),
        template_label_ok,
        ""
    )
)</f>
        <v/>
      </c>
      <c r="F176" s="863"/>
      <c r="G176" s="13"/>
      <c r="H176" s="13"/>
      <c r="I176" s="13"/>
    </row>
    <row r="177" spans="3:14" ht="21" customHeight="1" thickBot="1" x14ac:dyDescent="0.3">
      <c r="C177" s="98" t="str">
        <f>template_label_total_water_consumption</f>
        <v>Total water consumption (m³)</v>
      </c>
      <c r="D177" s="215" t="str">
        <f>IF(D176&lt;&gt;"",$D$169-$D$176,"-")</f>
        <v>-</v>
      </c>
      <c r="E177" s="99"/>
      <c r="F177" s="99"/>
    </row>
    <row r="178" spans="3:14" ht="15.75" thickBot="1" x14ac:dyDescent="0.3"/>
    <row r="179" spans="3:14" x14ac:dyDescent="0.25">
      <c r="C179" s="705" t="str">
        <f>template_label_b7_description_of_circular_economy_principles&amp;" "&amp;template_label_from&amp;" "&amp;template_starting_date_display&amp;" "&amp;template_label_to&amp;" "&amp;template_ending_date_display&amp;" "&amp;template_label_always_to_be_reported</f>
        <v>B7 - Description of circular economy principles from 2025-01-01 to 2025-12-31 [Always to be reported]</v>
      </c>
      <c r="D179" s="706"/>
      <c r="E179" s="859"/>
      <c r="F179" s="859"/>
      <c r="G179" s="707"/>
      <c r="H179" s="13"/>
      <c r="I179" s="13"/>
    </row>
    <row r="180" spans="3:14" x14ac:dyDescent="0.25">
      <c r="C180" s="386">
        <v>37</v>
      </c>
      <c r="D180" s="387"/>
      <c r="E180" s="860"/>
      <c r="F180" s="860"/>
      <c r="G180" s="388"/>
      <c r="H180" s="100"/>
      <c r="I180" s="100"/>
    </row>
    <row r="181" spans="3:14" x14ac:dyDescent="0.25">
      <c r="C181" s="389">
        <v>94</v>
      </c>
      <c r="D181" s="390"/>
      <c r="E181" s="586"/>
      <c r="F181" s="586"/>
      <c r="G181" s="391"/>
      <c r="H181" s="101"/>
      <c r="I181" s="101"/>
    </row>
    <row r="182" spans="3:14" x14ac:dyDescent="0.25">
      <c r="C182" s="63" t="str">
        <f>template_label_undertaking_applies_circular_economy_principles</f>
        <v>Undertaking applies circular economy principles</v>
      </c>
      <c r="D182" s="872" t="s">
        <v>127</v>
      </c>
      <c r="E182" s="873"/>
      <c r="F182" s="873"/>
      <c r="G182" s="874"/>
      <c r="H182" s="862" t="str">
        <f>IF(
    AND(
        OR(
            'General Information'!E32="Option A (Basic Module only)",
            'General Information'!E32="Option B (Basic Module and Comprehensive Module)"
        ),
        UndertakingAppliesCircularEconomyPrinciples=""
    ),
    template_label_missing_value,
    IF('General Information'!E32="", "", template_label_ok)
)</f>
        <v>OK</v>
      </c>
      <c r="I182" s="546"/>
      <c r="J182" s="13"/>
    </row>
    <row r="183" spans="3:14" ht="15.75" thickBot="1" x14ac:dyDescent="0.3">
      <c r="C183" s="82" t="str">
        <f>template_label_description_of_how_it_applies_these_principles</f>
        <v>Description of how it applies these principles</v>
      </c>
      <c r="D183" s="558" t="s">
        <v>128</v>
      </c>
      <c r="E183" s="568"/>
      <c r="F183" s="568"/>
      <c r="G183" s="559"/>
      <c r="H183" s="862" t="str">
        <f>IF(
    AND(D182="YES", D183=""),
    template_label_missing_value,
    IF(
        AND(D182="YES", D183&lt;&gt;""),
        template_label_ok,
        IF(
            AND(D182="NO", D183&lt;&gt;""),
            template_label_value_inconsistency,
            ""
        )
    )
)</f>
        <v>OK</v>
      </c>
      <c r="I183" s="546"/>
      <c r="J183" s="13"/>
    </row>
    <row r="184" spans="3:14" ht="15.75" thickBot="1" x14ac:dyDescent="0.3"/>
    <row r="185" spans="3:14" x14ac:dyDescent="0.25">
      <c r="C185" s="705" t="str">
        <f>template_label_b7_waste_generated&amp;" "&amp;template_label_from&amp;" "&amp;template_starting_date_display&amp;" "&amp;template_label_to&amp;" "&amp;template_ending_date_display&amp;" "&amp;template_label_always_to_be_reported</f>
        <v>B7 - Waste generated from 2025-01-01 to 2025-12-31 [Always to be reported]</v>
      </c>
      <c r="D185" s="706"/>
      <c r="E185" s="706"/>
      <c r="F185" s="706"/>
      <c r="G185" s="706"/>
      <c r="H185" s="706"/>
      <c r="I185" s="706"/>
      <c r="J185" s="706"/>
      <c r="K185" s="706"/>
      <c r="L185" s="707"/>
    </row>
    <row r="186" spans="3:14" x14ac:dyDescent="0.25">
      <c r="C186" s="386" t="s">
        <v>129</v>
      </c>
      <c r="D186" s="387"/>
      <c r="E186" s="387"/>
      <c r="F186" s="387"/>
      <c r="G186" s="387"/>
      <c r="H186" s="387"/>
      <c r="I186" s="387"/>
      <c r="J186" s="387"/>
      <c r="K186" s="387"/>
      <c r="L186" s="388"/>
    </row>
    <row r="187" spans="3:14" x14ac:dyDescent="0.25">
      <c r="C187" s="389" t="s">
        <v>130</v>
      </c>
      <c r="D187" s="390"/>
      <c r="E187" s="390"/>
      <c r="F187" s="390"/>
      <c r="G187" s="390"/>
      <c r="H187" s="390"/>
      <c r="I187" s="390"/>
      <c r="J187" s="390"/>
      <c r="K187" s="390"/>
      <c r="L187" s="391"/>
    </row>
    <row r="188" spans="3:14" ht="49.35" customHeight="1" x14ac:dyDescent="0.25">
      <c r="C188" s="102" t="str">
        <f>template_label_row_id</f>
        <v>Row ID</v>
      </c>
      <c r="D188" s="868" t="str">
        <f>template_label_type_of_waste</f>
        <v>Type of waste</v>
      </c>
      <c r="E188" s="868"/>
      <c r="F188" s="868"/>
      <c r="G188" s="870" t="str">
        <f>template_label_unit_of_measurement</f>
        <v>Unit of measurement</v>
      </c>
      <c r="H188" s="870"/>
      <c r="I188" s="870"/>
      <c r="J188" s="103" t="str">
        <f>template_label_waste_diverted_to_recycle_or_reuse</f>
        <v>Waste diverted to recycle or reuse</v>
      </c>
      <c r="K188" s="104" t="str">
        <f>template_label_waste_directed_to_disposal</f>
        <v>Waste directed to disposal</v>
      </c>
      <c r="L188" s="105" t="str">
        <f>template_label_total_waste_recycled_reused_and_directed_to_disposal</f>
        <v>Amount of waste recycled reused and directed to disposal</v>
      </c>
    </row>
    <row r="189" spans="3:14" x14ac:dyDescent="0.25">
      <c r="C189" s="288">
        <v>1</v>
      </c>
      <c r="D189" s="866" t="s">
        <v>131</v>
      </c>
      <c r="E189" s="866" t="s">
        <v>131</v>
      </c>
      <c r="F189" s="866" t="s">
        <v>131</v>
      </c>
      <c r="G189" s="484" t="s">
        <v>132</v>
      </c>
      <c r="H189" s="484"/>
      <c r="I189" s="484"/>
      <c r="J189" s="199">
        <v>0</v>
      </c>
      <c r="K189" s="200">
        <v>0</v>
      </c>
      <c r="L189" s="201">
        <f>IF(AND(D189="",J189="",K189=""),"-",SUM(J189:K189))</f>
        <v>0</v>
      </c>
      <c r="M189" s="13" t="str">
        <f>IF(
    OR('General Information'!E32 = "Option A (Basic Module only)", 'General Information'!E32 = "Option B (Basic Module and Comprehensive Module)"),
    IF(
        COUNTIF(enum_ListWasteCategories, D189) &gt; 0,
        template_label_error,
        IF(
            OR(D189 = "", G189 = "", J189 = "", K189 = ""),
            template_label_missing_value,
            IF(
                COUNTIF(D189:D203, D189) &gt; 1,
                template_label_value_inconsistency,
                template_label_ok
            )
        )
    ),
    ""
)</f>
        <v>OK</v>
      </c>
      <c r="N189" t="str">
        <f>template_label_type_of_waste_warning</f>
        <v>ℹ️  Please select a Type of waste (Hazardous or Non-Hazardous) rather than a category else an ERROR message will appear.</v>
      </c>
    </row>
    <row r="190" spans="3:14" x14ac:dyDescent="0.25">
      <c r="C190" s="288">
        <v>2</v>
      </c>
      <c r="D190" s="866" t="s">
        <v>133</v>
      </c>
      <c r="E190" s="866" t="s">
        <v>133</v>
      </c>
      <c r="F190" s="866" t="s">
        <v>133</v>
      </c>
      <c r="G190" s="484" t="s">
        <v>132</v>
      </c>
      <c r="H190" s="484"/>
      <c r="I190" s="484"/>
      <c r="J190" s="202">
        <v>4.6100000000000003</v>
      </c>
      <c r="K190" s="202">
        <v>0</v>
      </c>
      <c r="L190" s="203">
        <f t="shared" ref="L190:L203" si="5">IF(AND(D190="",J190="",K190=""),"-",SUM(J190:K190))</f>
        <v>4.6100000000000003</v>
      </c>
      <c r="M190" s="13" t="str">
        <f t="shared" ref="M190:M203" si="6">IF(COUNTIF(enum_ListWasteCategories,D190)&gt;0,template_label_error,
IF(AND(D190&lt;&gt;"",G190&lt;&gt;"",J190&lt;&gt;"",K190&lt;&gt;""),
IF(COUNTIF($D$189:$D$203,D190)&gt;1,template_label_value_inconsistency,template_label_ok),
IF(AND(D190&lt;&gt;"",G190&lt;&gt;"",J190&lt;&gt;"",K190=""),template_label_missing_value,
IF(AND(D190&lt;&gt;"",G190&lt;&gt;"",J190="",K190&lt;&gt;""),template_label_missing_value,
IF(AND(D190&lt;&gt;"",G190="",J190&lt;&gt;"",K190&lt;&gt;""),template_label_missing_value,
IF(AND(D190="",G190&lt;&gt;"",J190&lt;&gt;"",K190&lt;&gt;""),template_label_missing_value,
IF(AND(D190&lt;&gt;"",G190&lt;&gt;"",J190="",K190=""),template_label_missing_value,
IF(AND(D190&lt;&gt;"",G190="",J190&lt;&gt;"",K190=""),template_label_missing_value,
IF(AND(D190&lt;&gt;"",G190="",J190="",K190&lt;&gt;""),template_label_missing_value,
IF(AND(D190="",G190="",J190&lt;&gt;"",K190&lt;&gt;""),template_label_missing_value,
IF(AND(D190="",G190&lt;&gt;"",J190="",K190&lt;&gt;""),template_label_missing_value,
IF(AND(D190="",G190&lt;&gt;"",J190&lt;&gt;"",K190=""),template_label_missing_value,
IF(AND(D190="",G190="",J190="",K190&lt;&gt;""),template_label_missing_value,
IF(AND(D190="",G190="",J190&lt;&gt;"",K190=""),template_label_missing_value,
IF(AND(D190="",G190&lt;&gt;"",J190="",K190=""),template_label_missing_value,
IF(AND(D190&lt;&gt;"",G190="",J190="",K190=""),template_label_missing_value,
""))))))))))))))))</f>
        <v>OK</v>
      </c>
    </row>
    <row r="191" spans="3:14" ht="15.75" thickBot="1" x14ac:dyDescent="0.3">
      <c r="C191" s="289">
        <v>3</v>
      </c>
      <c r="D191" s="867" t="s">
        <v>134</v>
      </c>
      <c r="E191" s="867" t="s">
        <v>134</v>
      </c>
      <c r="F191" s="867" t="s">
        <v>134</v>
      </c>
      <c r="G191" s="856" t="s">
        <v>132</v>
      </c>
      <c r="H191" s="856"/>
      <c r="I191" s="856"/>
      <c r="J191" s="204">
        <v>56.14</v>
      </c>
      <c r="K191" s="204">
        <v>14.53</v>
      </c>
      <c r="L191" s="205">
        <f t="shared" si="5"/>
        <v>70.67</v>
      </c>
      <c r="M191" s="13" t="str">
        <f t="shared" si="6"/>
        <v>OK</v>
      </c>
      <c r="N191" t="str">
        <f>template_label_additional_rows_warning</f>
        <v>ℹ️  Lists can be expanded using the little [+] button on the left.  If the number of rows is not sufficient, those can be added by right clicking the second row and selecting "Insert row".</v>
      </c>
    </row>
    <row r="192" spans="3:14" outlineLevel="1" x14ac:dyDescent="0.25">
      <c r="C192" s="286">
        <v>4</v>
      </c>
      <c r="D192" s="869" t="s">
        <v>135</v>
      </c>
      <c r="E192" s="869" t="s">
        <v>135</v>
      </c>
      <c r="F192" s="869" t="s">
        <v>135</v>
      </c>
      <c r="G192" s="858" t="s">
        <v>132</v>
      </c>
      <c r="H192" s="858"/>
      <c r="I192" s="858"/>
      <c r="J192" s="206">
        <v>0.1</v>
      </c>
      <c r="K192" s="206">
        <v>62.41</v>
      </c>
      <c r="L192" s="207">
        <f t="shared" si="5"/>
        <v>62.51</v>
      </c>
      <c r="M192" s="13" t="str">
        <f t="shared" si="6"/>
        <v>OK</v>
      </c>
    </row>
    <row r="193" spans="3:13" outlineLevel="1" x14ac:dyDescent="0.25">
      <c r="C193" s="288">
        <v>5</v>
      </c>
      <c r="D193" s="866" t="s">
        <v>136</v>
      </c>
      <c r="E193" s="866" t="s">
        <v>136</v>
      </c>
      <c r="F193" s="866" t="s">
        <v>136</v>
      </c>
      <c r="G193" s="484" t="s">
        <v>132</v>
      </c>
      <c r="H193" s="484"/>
      <c r="I193" s="484"/>
      <c r="J193" s="202">
        <v>0</v>
      </c>
      <c r="K193" s="202">
        <v>58.34</v>
      </c>
      <c r="L193" s="203">
        <f t="shared" si="5"/>
        <v>58.34</v>
      </c>
      <c r="M193" s="13" t="str">
        <f t="shared" si="6"/>
        <v>OK</v>
      </c>
    </row>
    <row r="194" spans="3:13" outlineLevel="1" x14ac:dyDescent="0.25">
      <c r="C194" s="288">
        <v>6</v>
      </c>
      <c r="D194" s="866" t="s">
        <v>137</v>
      </c>
      <c r="E194" s="866" t="s">
        <v>137</v>
      </c>
      <c r="F194" s="866" t="s">
        <v>137</v>
      </c>
      <c r="G194" s="484" t="s">
        <v>132</v>
      </c>
      <c r="H194" s="484"/>
      <c r="I194" s="484"/>
      <c r="J194" s="202">
        <v>52.06</v>
      </c>
      <c r="K194" s="202">
        <v>0</v>
      </c>
      <c r="L194" s="203">
        <f>IF(AND(D194="",J194="",K194=""),"-",SUM(J194:K194))</f>
        <v>52.06</v>
      </c>
      <c r="M194" s="13" t="str">
        <f t="shared" si="6"/>
        <v>OK</v>
      </c>
    </row>
    <row r="195" spans="3:13" outlineLevel="1" x14ac:dyDescent="0.25">
      <c r="C195" s="288">
        <v>7</v>
      </c>
      <c r="D195" s="866" t="s">
        <v>138</v>
      </c>
      <c r="E195" s="866" t="s">
        <v>138</v>
      </c>
      <c r="F195" s="866" t="s">
        <v>138</v>
      </c>
      <c r="G195" s="484" t="s">
        <v>132</v>
      </c>
      <c r="H195" s="484"/>
      <c r="I195" s="484"/>
      <c r="J195" s="202">
        <v>0.57999999999999996</v>
      </c>
      <c r="K195" s="202">
        <v>0</v>
      </c>
      <c r="L195" s="203">
        <f>IF(AND(D195="",J195="",K195=""),"-",SUM(J195:K195))</f>
        <v>0.57999999999999996</v>
      </c>
      <c r="M195" s="13" t="str">
        <f t="shared" si="6"/>
        <v>OK</v>
      </c>
    </row>
    <row r="196" spans="3:13" outlineLevel="1" x14ac:dyDescent="0.25">
      <c r="C196" s="288">
        <v>8</v>
      </c>
      <c r="D196" s="866" t="s">
        <v>139</v>
      </c>
      <c r="E196" s="866" t="s">
        <v>139</v>
      </c>
      <c r="F196" s="866" t="s">
        <v>139</v>
      </c>
      <c r="G196" s="484" t="s">
        <v>132</v>
      </c>
      <c r="H196" s="484"/>
      <c r="I196" s="484"/>
      <c r="J196" s="202">
        <v>36.880000000000003</v>
      </c>
      <c r="K196" s="202">
        <v>678.37</v>
      </c>
      <c r="L196" s="203">
        <f t="shared" si="5"/>
        <v>715.25</v>
      </c>
      <c r="M196" s="13" t="str">
        <f t="shared" si="6"/>
        <v>OK</v>
      </c>
    </row>
    <row r="197" spans="3:13" outlineLevel="1" x14ac:dyDescent="0.25">
      <c r="C197" s="288">
        <v>9</v>
      </c>
      <c r="D197" s="866" t="s">
        <v>140</v>
      </c>
      <c r="E197" s="866" t="s">
        <v>140</v>
      </c>
      <c r="F197" s="866" t="s">
        <v>140</v>
      </c>
      <c r="G197" s="484" t="s">
        <v>132</v>
      </c>
      <c r="H197" s="484"/>
      <c r="I197" s="484"/>
      <c r="J197" s="202">
        <v>0</v>
      </c>
      <c r="K197" s="202">
        <v>0</v>
      </c>
      <c r="L197" s="203">
        <f t="shared" si="5"/>
        <v>0</v>
      </c>
      <c r="M197" s="13" t="str">
        <f t="shared" si="6"/>
        <v>OK</v>
      </c>
    </row>
    <row r="198" spans="3:13" outlineLevel="1" x14ac:dyDescent="0.25">
      <c r="C198" s="288">
        <v>10</v>
      </c>
      <c r="D198" s="866" t="s">
        <v>141</v>
      </c>
      <c r="E198" s="866" t="s">
        <v>141</v>
      </c>
      <c r="F198" s="866" t="s">
        <v>141</v>
      </c>
      <c r="G198" s="484" t="s">
        <v>132</v>
      </c>
      <c r="H198" s="484"/>
      <c r="I198" s="484"/>
      <c r="J198" s="202">
        <v>0.05</v>
      </c>
      <c r="K198" s="202">
        <v>0</v>
      </c>
      <c r="L198" s="203">
        <f t="shared" si="5"/>
        <v>0.05</v>
      </c>
      <c r="M198" s="13" t="str">
        <f t="shared" si="6"/>
        <v>OK</v>
      </c>
    </row>
    <row r="199" spans="3:13" outlineLevel="1" x14ac:dyDescent="0.25">
      <c r="C199" s="288">
        <v>11</v>
      </c>
      <c r="D199" s="866"/>
      <c r="E199" s="866"/>
      <c r="F199" s="866"/>
      <c r="G199" s="484"/>
      <c r="H199" s="484"/>
      <c r="I199" s="484"/>
      <c r="J199" s="202"/>
      <c r="K199" s="202"/>
      <c r="L199" s="203" t="str">
        <f t="shared" si="5"/>
        <v>-</v>
      </c>
      <c r="M199" s="13" t="str">
        <f t="shared" si="6"/>
        <v/>
      </c>
    </row>
    <row r="200" spans="3:13" outlineLevel="1" x14ac:dyDescent="0.25">
      <c r="C200" s="288">
        <v>12</v>
      </c>
      <c r="D200" s="866"/>
      <c r="E200" s="866"/>
      <c r="F200" s="866"/>
      <c r="G200" s="484"/>
      <c r="H200" s="484"/>
      <c r="I200" s="484"/>
      <c r="J200" s="202"/>
      <c r="K200" s="202"/>
      <c r="L200" s="203" t="str">
        <f t="shared" si="5"/>
        <v>-</v>
      </c>
      <c r="M200" s="13" t="str">
        <f t="shared" si="6"/>
        <v/>
      </c>
    </row>
    <row r="201" spans="3:13" outlineLevel="1" x14ac:dyDescent="0.25">
      <c r="C201" s="288">
        <v>13</v>
      </c>
      <c r="D201" s="866"/>
      <c r="E201" s="866"/>
      <c r="F201" s="866"/>
      <c r="G201" s="484"/>
      <c r="H201" s="484"/>
      <c r="I201" s="484"/>
      <c r="J201" s="202"/>
      <c r="K201" s="202"/>
      <c r="L201" s="203" t="str">
        <f t="shared" si="5"/>
        <v>-</v>
      </c>
      <c r="M201" s="13" t="str">
        <f t="shared" si="6"/>
        <v/>
      </c>
    </row>
    <row r="202" spans="3:13" outlineLevel="1" x14ac:dyDescent="0.25">
      <c r="C202" s="288">
        <v>14</v>
      </c>
      <c r="D202" s="866"/>
      <c r="E202" s="866"/>
      <c r="F202" s="866"/>
      <c r="G202" s="484"/>
      <c r="H202" s="484"/>
      <c r="I202" s="484"/>
      <c r="J202" s="202"/>
      <c r="K202" s="202"/>
      <c r="L202" s="203" t="str">
        <f t="shared" si="5"/>
        <v>-</v>
      </c>
      <c r="M202" s="13" t="str">
        <f t="shared" si="6"/>
        <v/>
      </c>
    </row>
    <row r="203" spans="3:13" ht="15.75" outlineLevel="1" thickBot="1" x14ac:dyDescent="0.3">
      <c r="C203" s="287">
        <v>15</v>
      </c>
      <c r="D203" s="855"/>
      <c r="E203" s="855"/>
      <c r="F203" s="855"/>
      <c r="G203" s="856"/>
      <c r="H203" s="856"/>
      <c r="I203" s="856"/>
      <c r="J203" s="208"/>
      <c r="K203" s="208"/>
      <c r="L203" s="205" t="str">
        <f t="shared" si="5"/>
        <v>-</v>
      </c>
      <c r="M203" s="13" t="str">
        <f t="shared" si="6"/>
        <v/>
      </c>
    </row>
    <row r="204" spans="3:13" x14ac:dyDescent="0.25">
      <c r="C204" s="892" t="str">
        <f>template_label_total_amount_of_waste_generated</f>
        <v>Total amount of waste generated</v>
      </c>
      <c r="D204" s="898" t="str">
        <f>template_label_total_hazardous_waste_generated_mass</f>
        <v>Total Hazardous waste generated (mass)</v>
      </c>
      <c r="E204" s="898"/>
      <c r="F204" s="899"/>
      <c r="G204" s="896" t="s">
        <v>132</v>
      </c>
      <c r="H204" s="896"/>
      <c r="I204" s="897"/>
      <c r="J204" s="888">
        <f>IF(OR(G204="", AND(D189="",J189="",K189="",D190="",J190="",K190="",D191="",J191="",K191="",D192="",J192="",K192="",D193="",J193="",K193="",D194="",J194="",K194="",D195="",J195="",K195="",D196="",J196="",K196="",D197="",J197="",K197="",D198="",J198="",K198="",D199="",J199="",K199="",D200="",J200="",K200="",D201="",J201="",K201="",D202="",J202="",K202="",D203="",J203="",K203="")),
    "-",
    IF(G204="metric tonnes (t)",
        SUMIFS(L189:L203, D189:D203, "* Hazardous *", G189:G203, "*kilograms (kg)*") / 1000 +
        SUMIFS(L189:L203, D189:D203, "* Hazardous *", G189:G203, "*metric tonnes (t)*"),
        SUMIFS(L189:L203, D189:D203, "* Hazardous *", G189:G203, "*kilograms (kg)*") +
        SUMIFS(L189:L203, D189:D203, "* Hazardous *", G189:G203, "*metric tonnes (t)*") * 1000
    )
)</f>
        <v>0</v>
      </c>
      <c r="K204" s="888"/>
      <c r="L204" s="889"/>
      <c r="M204" s="13" t="str" cm="1">
        <f t="array" ref="M204">IF(G204="",
    IF(SUMPRODUCT(--((G189:G203="metric tonnes (t)")+(G189:G203="kilograms (kg)")))&gt;0,
        template_label_missing_value,
        ""
    ),
    IF(SUMPRODUCT(--((G189:G203="metric tonnes (t)")+(G189:G203="kilograms (kg)")))&gt;0,
        template_label_ok,
        ""
    )
)</f>
        <v>OK</v>
      </c>
    </row>
    <row r="205" spans="3:13" x14ac:dyDescent="0.25">
      <c r="C205" s="893"/>
      <c r="D205" s="885" t="str">
        <f>template_label_total_non_hazardous_waste_generated_mass</f>
        <v>Total Non-Hazardous waste generated (mass)</v>
      </c>
      <c r="E205" s="885"/>
      <c r="F205" s="886"/>
      <c r="G205" s="878" t="str">
        <f>IF($G$204="", "-", $G$204)</f>
        <v>metric tonnes (t)</v>
      </c>
      <c r="H205" s="878"/>
      <c r="I205" s="880"/>
      <c r="J205" s="779">
        <f>IF(OR(G204="", AND(D189="",J189="",K189="",D190="",J190="",K190="",D191="",J191="",K191="",D192="",J192="",K192="",D193="",J193="",K193="",D194="",J194="",K194="",D195="",J195="",K195="",D196="",J196="",K196="",D197="",J197="",K197="",D198="",J198="",K198="",D199="",J199="",K199="",D200="",J200="",K200="",D201="",J201="",K201="",D202="",J202="",K202="",D203="",J203="",K203="")),
    "-",
    IF(G204="metric tonnes (t)",
        SUMIFS(L189:L203, D189:D203, "* Non-Hazardous *", G189:G203, "*kilograms (kg)*") / 1000 +
        SUMIFS(L189:L203, D189:D203, "* Non-Hazardous *", G189:G203, "*metric tonnes (t)*"),
        SUMIFS(L189:L203, D189:D203, "* Non-Hazardous *", G189:G203, "*kilograms (kg)*") +
        SUMIFS(L189:L203, D189:D203, "* Non-Hazardous *", G189:G203, "*metric tonnes (t)*") * 1000
    )
)</f>
        <v>964.06999999999994</v>
      </c>
      <c r="K205" s="779"/>
      <c r="L205" s="877"/>
    </row>
    <row r="206" spans="3:13" ht="15.75" thickBot="1" x14ac:dyDescent="0.3">
      <c r="C206" s="893"/>
      <c r="D206" s="881" t="str">
        <f>template_label_total_waste_generated_mass</f>
        <v>Total waste generated (mass)</v>
      </c>
      <c r="E206" s="881"/>
      <c r="F206" s="882"/>
      <c r="G206" s="878" t="str">
        <f>IF($G$204="", "-", $G$204)</f>
        <v>metric tonnes (t)</v>
      </c>
      <c r="H206" s="879"/>
      <c r="I206" s="895"/>
      <c r="J206" s="674">
        <f>IF(AND(J204="-",J205="-"),"-",SUM(J204:L205))</f>
        <v>964.06999999999994</v>
      </c>
      <c r="K206" s="674"/>
      <c r="L206" s="778"/>
    </row>
    <row r="207" spans="3:13" x14ac:dyDescent="0.25">
      <c r="C207" s="893"/>
      <c r="D207" s="883" t="str">
        <f>template_label_total_hazardous_waste_generated_volume</f>
        <v>Total Hazardous waste generated (volume)</v>
      </c>
      <c r="E207" s="883"/>
      <c r="F207" s="884"/>
      <c r="G207" s="887" t="str">
        <f>template_label_cubic_meters</f>
        <v>cubic meters (m³)</v>
      </c>
      <c r="H207" s="887"/>
      <c r="I207" s="887"/>
      <c r="J207" s="890">
        <f>IF(AND(D189="",J189="",K189="",D190="",J190="",K190="",D191="",J191="",K191="",D192="",J192="",K192="",D193="",J193="",K193="",D194="",J194="",K194="",D195="",J195="",K195="",D196="",J196="",K196="",D197="",J197="",K197="",D198="",J198="",K198="",D199="",J199="",K199="",D200="",J200="",K200="",D201="",J201="",K201="",D202="",J202="",K202="",D203="",J203="",K203=""),"-",SUMIFS(L189:L203, D189:D203,"* Hazardous *", G189:G203,"*cubic meters (m3)*"))</f>
        <v>0</v>
      </c>
      <c r="K207" s="890"/>
      <c r="L207" s="891"/>
    </row>
    <row r="208" spans="3:13" x14ac:dyDescent="0.25">
      <c r="C208" s="893"/>
      <c r="D208" s="885" t="str">
        <f>template_label_total_non_hazardous_waste_generated_volume</f>
        <v>Total Non-Hazardous waste generated (volume)</v>
      </c>
      <c r="E208" s="885"/>
      <c r="F208" s="886"/>
      <c r="G208" s="878" t="str">
        <f>template_label_cubic_meters</f>
        <v>cubic meters (m³)</v>
      </c>
      <c r="H208" s="878"/>
      <c r="I208" s="878"/>
      <c r="J208" s="779">
        <f>IF(AND(D189="",J189="",K189="",D190="",J190="",K190="",D191="",J191="",K191="",D192="",J192="",K192="",D193="",J193="",K193="",D194="",J194="",K194="",D195="",J195="",K195="",D196="",J196="",K196="",D197="",J197="",K197="",D198="",J198="",K198="",D199="",J199="",K199="",D200="",J200="",K200="",D201="",J201="",K201="",D202="",J202="",K202="",D203="",J203="",K203=""),"-",SUMIFS(L189:L203, D189:D203,"*Non-Hazardous*", G189:G203,"*cubic meters (m3)*"))</f>
        <v>0</v>
      </c>
      <c r="K208" s="779"/>
      <c r="L208" s="877"/>
    </row>
    <row r="209" spans="3:12" ht="15.75" thickBot="1" x14ac:dyDescent="0.3">
      <c r="C209" s="894"/>
      <c r="D209" s="881" t="str">
        <f>template_label_total_waste_generated_volume</f>
        <v>Total waste generated (volume)</v>
      </c>
      <c r="E209" s="881"/>
      <c r="F209" s="882"/>
      <c r="G209" s="879" t="str">
        <f>template_label_cubic_meters</f>
        <v>cubic meters (m³)</v>
      </c>
      <c r="H209" s="879"/>
      <c r="I209" s="879"/>
      <c r="J209" s="674">
        <f>IF(AND(J207="-",J208="-"),"-",SUM(J207:L208))</f>
        <v>0</v>
      </c>
      <c r="K209" s="674"/>
      <c r="L209" s="778"/>
    </row>
    <row r="210" spans="3:12" ht="15.75" thickBot="1" x14ac:dyDescent="0.3"/>
    <row r="211" spans="3:12" x14ac:dyDescent="0.25">
      <c r="C211" s="705" t="str">
        <f>template_label_b7_annual_mass_flow_of_relevant_materials_used&amp;" "&amp;template_label_from&amp;" "&amp;template_starting_date_display&amp;" "&amp;template_label_to&amp;" "&amp;template_ending_date_display&amp;" "&amp;template_label_if_applicable</f>
        <v>B7 – Annual mass-flow of relevant materials used from 2025-01-01 to 2025-12-31 [If applicable]</v>
      </c>
      <c r="D211" s="706"/>
      <c r="E211" s="706"/>
      <c r="F211" s="706"/>
      <c r="G211" s="706"/>
      <c r="H211" s="706"/>
      <c r="I211" s="706"/>
      <c r="J211" s="707"/>
    </row>
    <row r="212" spans="3:12" x14ac:dyDescent="0.25">
      <c r="C212" s="386" t="s">
        <v>142</v>
      </c>
      <c r="D212" s="387"/>
      <c r="E212" s="387"/>
      <c r="F212" s="387"/>
      <c r="G212" s="387"/>
      <c r="H212" s="387"/>
      <c r="I212" s="387"/>
      <c r="J212" s="388"/>
    </row>
    <row r="213" spans="3:12" x14ac:dyDescent="0.25">
      <c r="C213" s="389" t="s">
        <v>143</v>
      </c>
      <c r="D213" s="390"/>
      <c r="E213" s="390"/>
      <c r="F213" s="390"/>
      <c r="G213" s="390"/>
      <c r="H213" s="390"/>
      <c r="I213" s="390"/>
      <c r="J213" s="391"/>
      <c r="K213" s="8"/>
      <c r="L213" s="8"/>
    </row>
    <row r="214" spans="3:12" ht="30" customHeight="1" x14ac:dyDescent="0.25">
      <c r="C214" s="636" t="str">
        <f>template_label_does_the_undertaking_operate_in_a_sector_using_significant_material_flows</f>
        <v>Does the undertaking the undertaking operate in a sector using significant material flows (for example manufacturing construction packaging or others)?</v>
      </c>
      <c r="D214" s="909"/>
      <c r="E214" s="909"/>
      <c r="F214" s="910"/>
      <c r="G214" s="398" t="b">
        <v>1</v>
      </c>
      <c r="H214" s="399"/>
      <c r="I214" s="399"/>
      <c r="J214" s="400"/>
    </row>
    <row r="215" spans="3:12" ht="43.5" customHeight="1" x14ac:dyDescent="0.25">
      <c r="C215" s="108" t="str">
        <f>template_label_row_id</f>
        <v>Row ID</v>
      </c>
      <c r="D215" s="760" t="str">
        <f>template_label_name_of_the_key_material</f>
        <v>Name of the key material</v>
      </c>
      <c r="E215" s="760"/>
      <c r="F215" s="760"/>
      <c r="G215" s="760" t="str">
        <f>template_label_mass_volume</f>
        <v>Mass Volume</v>
      </c>
      <c r="H215" s="760"/>
      <c r="I215" s="760"/>
      <c r="J215" s="73" t="str">
        <f>template_label_unit_of_measurement</f>
        <v>Unit of measurement</v>
      </c>
    </row>
    <row r="216" spans="3:12" x14ac:dyDescent="0.25">
      <c r="C216" s="155">
        <v>1</v>
      </c>
      <c r="D216" s="691" t="s">
        <v>144</v>
      </c>
      <c r="E216" s="691"/>
      <c r="F216" s="691"/>
      <c r="G216" s="671">
        <v>18014.400000000001</v>
      </c>
      <c r="H216" s="671"/>
      <c r="I216" s="671"/>
      <c r="J216" s="111" t="s">
        <v>145</v>
      </c>
      <c r="K216" s="14" t="str">
        <f>IF(AND(G214=TRUE,D216&lt;&gt;"",G216&lt;&gt;"",J216&lt;&gt;""),
    template_label_ok,
    IF(AND(G214=TRUE,OR(D216="",G216="",J216="")),
        template_label_missing_value,
        ""
    )
)</f>
        <v>OK</v>
      </c>
    </row>
    <row r="217" spans="3:12" x14ac:dyDescent="0.25">
      <c r="C217" s="155">
        <v>2</v>
      </c>
      <c r="D217" s="784" t="s">
        <v>146</v>
      </c>
      <c r="E217" s="784"/>
      <c r="F217" s="784"/>
      <c r="G217" s="671">
        <v>194526.38</v>
      </c>
      <c r="H217" s="671"/>
      <c r="I217" s="671"/>
      <c r="J217" s="111" t="s">
        <v>145</v>
      </c>
      <c r="K217" s="14" t="str">
        <f t="shared" ref="K217:K230" si="7">IF(AND(D217&lt;&gt;"",G217&lt;&gt;"",J217&lt;&gt;""),
    template_label_ok,
    IF(AND(D217&lt;&gt;"",G217&lt;&gt;"",J217=""),
        template_label_missing_value,
        IF(AND(D217&lt;&gt;"",G217="",J217&lt;&gt;""),
            template_label_missing_value,
            IF(AND(D217&lt;&gt;"",G217="",J217=""),
                template_label_missing_value,
                IF(AND(D217="",G217="",J217=""),
                    "",
                    template_label_missing_value
                )
            )
        )
    )
)</f>
        <v>OK</v>
      </c>
    </row>
    <row r="218" spans="3:12" x14ac:dyDescent="0.25">
      <c r="C218" s="155">
        <v>3</v>
      </c>
      <c r="D218" s="784" t="s">
        <v>147</v>
      </c>
      <c r="E218" s="784"/>
      <c r="F218" s="784"/>
      <c r="G218" s="671">
        <v>2352982.0099999998</v>
      </c>
      <c r="H218" s="671"/>
      <c r="I218" s="671"/>
      <c r="J218" s="111" t="s">
        <v>145</v>
      </c>
      <c r="K218" s="14" t="str">
        <f t="shared" si="7"/>
        <v>OK</v>
      </c>
      <c r="L218" t="str">
        <f>template_label_additional_rows_warning</f>
        <v>ℹ️  Lists can be expanded using the little [+] button on the left.  If the number of rows is not sufficient, those can be added by right clicking the second row and selecting "Insert row".</v>
      </c>
    </row>
    <row r="219" spans="3:12" outlineLevel="1" x14ac:dyDescent="0.25">
      <c r="C219" s="155">
        <v>4</v>
      </c>
      <c r="D219" s="784" t="s">
        <v>148</v>
      </c>
      <c r="E219" s="784"/>
      <c r="F219" s="784"/>
      <c r="G219" s="671">
        <v>5404412.2699999996</v>
      </c>
      <c r="H219" s="671"/>
      <c r="I219" s="671"/>
      <c r="J219" s="111" t="s">
        <v>145</v>
      </c>
      <c r="K219" s="14" t="str">
        <f t="shared" si="7"/>
        <v>OK</v>
      </c>
    </row>
    <row r="220" spans="3:12" outlineLevel="1" x14ac:dyDescent="0.25">
      <c r="C220" s="155">
        <v>5</v>
      </c>
      <c r="D220" s="784" t="s">
        <v>149</v>
      </c>
      <c r="E220" s="784"/>
      <c r="F220" s="784"/>
      <c r="G220" s="671">
        <v>909751.54</v>
      </c>
      <c r="H220" s="671"/>
      <c r="I220" s="671"/>
      <c r="J220" s="111" t="s">
        <v>145</v>
      </c>
      <c r="K220" s="14" t="str">
        <f t="shared" si="7"/>
        <v>OK</v>
      </c>
    </row>
    <row r="221" spans="3:12" outlineLevel="1" x14ac:dyDescent="0.25">
      <c r="C221" s="155">
        <v>6</v>
      </c>
      <c r="D221" s="691"/>
      <c r="E221" s="691"/>
      <c r="F221" s="691"/>
      <c r="G221" s="671"/>
      <c r="H221" s="671"/>
      <c r="I221" s="671"/>
      <c r="J221" s="111"/>
      <c r="K221" s="14" t="str">
        <f t="shared" si="7"/>
        <v/>
      </c>
    </row>
    <row r="222" spans="3:12" outlineLevel="1" x14ac:dyDescent="0.25">
      <c r="C222" s="155">
        <v>7</v>
      </c>
      <c r="D222" s="691"/>
      <c r="E222" s="691"/>
      <c r="F222" s="691"/>
      <c r="G222" s="671"/>
      <c r="H222" s="671"/>
      <c r="I222" s="671"/>
      <c r="J222" s="111"/>
      <c r="K222" s="14" t="str">
        <f t="shared" si="7"/>
        <v/>
      </c>
    </row>
    <row r="223" spans="3:12" outlineLevel="1" x14ac:dyDescent="0.25">
      <c r="C223" s="155">
        <v>8</v>
      </c>
      <c r="D223" s="691"/>
      <c r="E223" s="691"/>
      <c r="F223" s="691"/>
      <c r="G223" s="671"/>
      <c r="H223" s="671"/>
      <c r="I223" s="671"/>
      <c r="J223" s="111"/>
      <c r="K223" s="14" t="str">
        <f t="shared" si="7"/>
        <v/>
      </c>
    </row>
    <row r="224" spans="3:12" outlineLevel="1" x14ac:dyDescent="0.25">
      <c r="C224" s="155">
        <v>9</v>
      </c>
      <c r="D224" s="691"/>
      <c r="E224" s="691"/>
      <c r="F224" s="691"/>
      <c r="G224" s="671"/>
      <c r="H224" s="671"/>
      <c r="I224" s="671"/>
      <c r="J224" s="111"/>
      <c r="K224" s="14" t="str">
        <f t="shared" si="7"/>
        <v/>
      </c>
    </row>
    <row r="225" spans="1:12" outlineLevel="1" x14ac:dyDescent="0.25">
      <c r="C225" s="155">
        <v>10</v>
      </c>
      <c r="D225" s="691"/>
      <c r="E225" s="691"/>
      <c r="F225" s="691"/>
      <c r="G225" s="671"/>
      <c r="H225" s="671"/>
      <c r="I225" s="671"/>
      <c r="J225" s="111"/>
      <c r="K225" s="14" t="str">
        <f t="shared" si="7"/>
        <v/>
      </c>
    </row>
    <row r="226" spans="1:12" outlineLevel="1" x14ac:dyDescent="0.25">
      <c r="C226" s="155">
        <v>11</v>
      </c>
      <c r="D226" s="766"/>
      <c r="E226" s="767"/>
      <c r="F226" s="768"/>
      <c r="G226" s="684"/>
      <c r="H226" s="685"/>
      <c r="I226" s="686"/>
      <c r="J226" s="111"/>
      <c r="K226" s="14" t="str">
        <f t="shared" si="7"/>
        <v/>
      </c>
    </row>
    <row r="227" spans="1:12" outlineLevel="1" x14ac:dyDescent="0.25">
      <c r="C227" s="155">
        <v>12</v>
      </c>
      <c r="D227" s="766"/>
      <c r="E227" s="767"/>
      <c r="F227" s="768"/>
      <c r="G227" s="684"/>
      <c r="H227" s="685"/>
      <c r="I227" s="686"/>
      <c r="J227" s="111"/>
      <c r="K227" s="14" t="str">
        <f t="shared" si="7"/>
        <v/>
      </c>
    </row>
    <row r="228" spans="1:12" outlineLevel="1" x14ac:dyDescent="0.25">
      <c r="C228" s="155">
        <v>13</v>
      </c>
      <c r="D228" s="766"/>
      <c r="E228" s="767"/>
      <c r="F228" s="768"/>
      <c r="G228" s="795"/>
      <c r="H228" s="796"/>
      <c r="I228" s="797"/>
      <c r="J228" s="111"/>
      <c r="K228" s="14" t="str">
        <f t="shared" si="7"/>
        <v/>
      </c>
    </row>
    <row r="229" spans="1:12" outlineLevel="1" x14ac:dyDescent="0.25">
      <c r="C229" s="155">
        <v>14</v>
      </c>
      <c r="D229" s="766"/>
      <c r="E229" s="767"/>
      <c r="F229" s="768"/>
      <c r="G229" s="684"/>
      <c r="H229" s="685"/>
      <c r="I229" s="686"/>
      <c r="J229" s="111"/>
      <c r="K229" s="14" t="str">
        <f t="shared" si="7"/>
        <v/>
      </c>
    </row>
    <row r="230" spans="1:12" outlineLevel="1" x14ac:dyDescent="0.25">
      <c r="C230" s="155">
        <v>15</v>
      </c>
      <c r="D230" s="766"/>
      <c r="E230" s="767"/>
      <c r="F230" s="768"/>
      <c r="G230" s="684"/>
      <c r="H230" s="685"/>
      <c r="I230" s="686"/>
      <c r="J230" s="111"/>
      <c r="K230" s="14" t="str">
        <f t="shared" si="7"/>
        <v/>
      </c>
    </row>
    <row r="231" spans="1:12" x14ac:dyDescent="0.25">
      <c r="C231" s="782" t="str">
        <f>template_label_total_annual_mass_flow_of_relevant_materials_used_mass</f>
        <v>Total annual mass-flow of relevant materials used (mass in kg)</v>
      </c>
      <c r="D231" s="783"/>
      <c r="E231" s="783"/>
      <c r="F231" s="783"/>
      <c r="G231" s="779">
        <f>IF(AND(G216="",G217="",J216="",J217="",G218="",J218=""),"-",(SUMIF($J$216:$J$225,"kilograms (kg)",$G$216:$G$225))+((SUMIF($J$216:$J$225,"metric tonnes (t)",$G$216:$G$225))*1000))</f>
        <v>8879686.5999999978</v>
      </c>
      <c r="H231" s="779"/>
      <c r="I231" s="779"/>
      <c r="J231" s="109" t="str">
        <f>template_label_kilograms</f>
        <v>kilograms (kg)</v>
      </c>
    </row>
    <row r="232" spans="1:12" ht="15.75" thickBot="1" x14ac:dyDescent="0.3">
      <c r="C232" s="780" t="str">
        <f>template_label_total_annual_mass_flow_of_relevant_materials_used_volume</f>
        <v>Total annual mass-flow of relevant materials used (volume in m³)</v>
      </c>
      <c r="D232" s="781"/>
      <c r="E232" s="781"/>
      <c r="F232" s="781"/>
      <c r="G232" s="674">
        <f>IF(AND(G216="",G217="",J216="",J217="",G218="",J218=""),"-",SUMIF(J216:J225, "cubic meters (m3)", G216:G225))</f>
        <v>0</v>
      </c>
      <c r="H232" s="674"/>
      <c r="I232" s="674"/>
      <c r="J232" s="107" t="str">
        <f>template_label_cubic_meters</f>
        <v>cubic meters (m³)</v>
      </c>
      <c r="K232" s="14"/>
    </row>
    <row r="233" spans="1:12" ht="15.75" thickBot="1" x14ac:dyDescent="0.3">
      <c r="D233" s="9"/>
      <c r="E233" s="9"/>
      <c r="F233" s="9"/>
      <c r="G233" s="9"/>
      <c r="H233" s="9"/>
      <c r="I233" s="9"/>
      <c r="J233" s="9"/>
    </row>
    <row r="234" spans="1:12" x14ac:dyDescent="0.25">
      <c r="C234" s="785" t="str">
        <f>template_label_c4_climate_risks&amp;" "&amp;template_label_from&amp;" "&amp;template_starting_date_display&amp;" "&amp;template_label_to&amp;" "&amp;template_ending_date_display&amp;" "&amp;template_label_if_applicable</f>
        <v>C4 – Climate risks from 2025-01-01 to 2025-12-31 [If applicable]</v>
      </c>
      <c r="D234" s="786"/>
      <c r="E234" s="786"/>
      <c r="F234" s="786"/>
      <c r="G234" s="786"/>
      <c r="H234" s="786"/>
      <c r="I234" s="786"/>
      <c r="J234" s="786"/>
      <c r="K234" s="787"/>
    </row>
    <row r="235" spans="1:12" ht="39.6" customHeight="1" x14ac:dyDescent="0.25">
      <c r="C235" s="636" t="str">
        <f>template_label_has_the_undertaking_identified_climate_related_hazards_and_climate_related_transition_events</f>
        <v>Has the undertaking identified climate-related hazards and climate-related transition events creating gross climate-related risks for the undertaking?</v>
      </c>
      <c r="D235" s="791"/>
      <c r="E235" s="792" t="b">
        <v>0</v>
      </c>
      <c r="F235" s="793"/>
      <c r="G235" s="793"/>
      <c r="H235" s="793"/>
      <c r="I235" s="793"/>
      <c r="J235" s="793"/>
      <c r="K235" s="794"/>
    </row>
    <row r="236" spans="1:12" x14ac:dyDescent="0.25">
      <c r="A236" s="317" t="s">
        <v>150</v>
      </c>
      <c r="B236" s="317" t="s">
        <v>151</v>
      </c>
      <c r="C236" s="610" t="str">
        <f>template_label_description_of_climate_related_hazards_and_climate_related_transition_events</f>
        <v>Description of climate-related hazards and climate-related transition events</v>
      </c>
      <c r="D236" s="610"/>
      <c r="E236" s="645"/>
      <c r="F236" s="646"/>
      <c r="G236" s="646"/>
      <c r="H236" s="646"/>
      <c r="I236" s="646"/>
      <c r="J236" s="646"/>
      <c r="K236" s="647"/>
      <c r="L236" s="13" t="str">
        <f>IF(AND($E$235=TRUE,E236&lt;&gt;""),
    template_label_ok,
    IF(AND($E$235=TRUE,G236=""),
        template_label_missing_value,
        ""
    )
)</f>
        <v/>
      </c>
    </row>
    <row r="237" spans="1:12" x14ac:dyDescent="0.25">
      <c r="A237" s="317" t="s">
        <v>152</v>
      </c>
      <c r="B237" s="317" t="s">
        <v>151</v>
      </c>
      <c r="C237" s="610" t="str">
        <f>template_label_disclosure_of_how_it_has_assessed_the_exposure_and_sensitivity_of_its_assets</f>
        <v>Disclosure of how it has assessed the exposure and sensitivity of its assets activities and value chain to these hazards and transition events</v>
      </c>
      <c r="D237" s="610"/>
      <c r="E237" s="645"/>
      <c r="F237" s="646"/>
      <c r="G237" s="646"/>
      <c r="H237" s="646"/>
      <c r="I237" s="646"/>
      <c r="J237" s="646"/>
      <c r="K237" s="647"/>
      <c r="L237" s="13" t="str">
        <f>IF(AND($E$235=TRUE,E237&lt;&gt;""),
    template_label_ok,
    IF(AND($E$235=TRUE,G237=""),
        template_label_missing_value,
        ""
    )
)</f>
        <v/>
      </c>
    </row>
    <row r="238" spans="1:12" x14ac:dyDescent="0.25">
      <c r="A238" s="317" t="s">
        <v>153</v>
      </c>
      <c r="B238" s="317" t="s">
        <v>151</v>
      </c>
      <c r="C238" s="610" t="str">
        <f>template_label_time_horizons_of_any_climate_related_hazards_and_transition_events_identified</f>
        <v>Time horizons of any climate-related hazards and transition events identified</v>
      </c>
      <c r="D238" s="610"/>
      <c r="E238" s="645"/>
      <c r="F238" s="646"/>
      <c r="G238" s="646"/>
      <c r="H238" s="646"/>
      <c r="I238" s="646"/>
      <c r="J238" s="646"/>
      <c r="K238" s="647"/>
      <c r="L238" s="13" t="str">
        <f>IF(AND($E$235=TRUE,E238&lt;&gt;""),
    template_label_ok,
    IF(AND($E$235=TRUE,G238=""),
        template_label_missing_value,
        ""
    )
)</f>
        <v/>
      </c>
    </row>
    <row r="239" spans="1:12" ht="27" customHeight="1" x14ac:dyDescent="0.25">
      <c r="A239" s="317" t="s">
        <v>154</v>
      </c>
      <c r="B239" s="317" t="s">
        <v>151</v>
      </c>
      <c r="C239" s="610" t="str">
        <f>template_label_disclosure_of_whether_it_has_undertaken_climate_change_adaptation_actions</f>
        <v>Disclosure of whether it has undertaken climate change adaptation actions for any climate-related hazards and transition events</v>
      </c>
      <c r="D239" s="610"/>
      <c r="E239" s="788"/>
      <c r="F239" s="789"/>
      <c r="G239" s="789"/>
      <c r="H239" s="789"/>
      <c r="I239" s="789"/>
      <c r="J239" s="789"/>
      <c r="K239" s="790"/>
      <c r="L239" s="13" t="str">
        <f>IF(AND($E$235=TRUE,E239&lt;&gt;""),
    template_label_ok,
    IF(AND($E$235=TRUE,G239=""),
        template_label_missing_value,
        ""
    )
)</f>
        <v/>
      </c>
    </row>
    <row r="240" spans="1:12" ht="29.45" customHeight="1" thickBot="1" x14ac:dyDescent="0.3">
      <c r="A240" s="317">
        <v>58</v>
      </c>
      <c r="B240" s="317" t="s">
        <v>151</v>
      </c>
      <c r="C240" s="560" t="str">
        <f>template_label_potential_adverse_effects_of_climate_risks &amp; " - " &amp; template_label_may_not_headline</f>
        <v>Potential adverse effects of climate risks that may affect its financial performance or business operations in the short- medium- or long-term indicating whether it assesses the risks to be high medium or low - May (optional)</v>
      </c>
      <c r="D240" s="560"/>
      <c r="E240" s="648"/>
      <c r="F240" s="649"/>
      <c r="G240" s="649"/>
      <c r="H240" s="649"/>
      <c r="I240" s="649"/>
      <c r="J240" s="649"/>
      <c r="K240" s="650"/>
      <c r="L240" s="13" t="str">
        <f>IF(AND($E$235=TRUE,E240&lt;&gt;""),
    template_label_ok,
    ""
)</f>
        <v/>
      </c>
    </row>
    <row r="241" spans="3:13" ht="15.75" thickBot="1" x14ac:dyDescent="0.3"/>
    <row r="242" spans="3:13" x14ac:dyDescent="0.25">
      <c r="C242" s="494" t="str">
        <f>template_label_disclosure_of_any_other_environmental_and_or_entity_specific_environmental_disclosures&amp;" "&amp;template_label_from&amp;" "&amp;template_starting_date_display&amp;" "&amp;template_label_to&amp;" "&amp;template_ending_date_display&amp;" " &amp; template_label_may</f>
        <v>Disclosure of any other environmental and or entity specific environmental disclosures from 2025-01-01 to 2025-12-31 [May (optional)]</v>
      </c>
      <c r="D242" s="495"/>
      <c r="E242" s="495"/>
      <c r="F242" s="495"/>
      <c r="G242" s="495"/>
      <c r="H242" s="495"/>
      <c r="I242" s="495"/>
      <c r="J242" s="495"/>
      <c r="K242" s="495"/>
      <c r="L242" s="496"/>
    </row>
    <row r="243" spans="3:13" x14ac:dyDescent="0.25">
      <c r="C243" s="353">
        <v>10</v>
      </c>
      <c r="D243" s="354"/>
      <c r="E243" s="354"/>
      <c r="F243" s="354"/>
      <c r="G243" s="354"/>
      <c r="H243" s="354"/>
      <c r="I243" s="354"/>
      <c r="J243" s="354"/>
      <c r="K243" s="354"/>
      <c r="L243" s="355"/>
      <c r="M243" s="5"/>
    </row>
    <row r="244" spans="3:13" ht="15.75" thickBot="1" x14ac:dyDescent="0.3">
      <c r="C244" s="500"/>
      <c r="D244" s="501"/>
      <c r="E244" s="501"/>
      <c r="F244" s="501"/>
      <c r="G244" s="501"/>
      <c r="H244" s="501"/>
      <c r="I244" s="501"/>
      <c r="J244" s="501"/>
      <c r="K244" s="501"/>
      <c r="L244" s="501"/>
      <c r="M244" s="70" t="str">
        <f>IF(C244&lt;&gt;"", template_label_ok, "")</f>
        <v/>
      </c>
    </row>
  </sheetData>
  <sheetProtection algorithmName="SHA-512" hashValue="a1LQ45sc/ZR5ejzXILcU77gPlo6jNS2muS9I86N1t2xMZyFuUcVVNd2W8cLQF5GbQ35caWjmNgoYPnDlZ3zdkg==" saltValue="ugZX0ZR14A/yGnQDO4HaUw==" spinCount="100000" sheet="1" objects="1" scenarios="1" selectLockedCells="1" selectUnlockedCells="1"/>
  <mergeCells count="407">
    <mergeCell ref="C213:J213"/>
    <mergeCell ref="C211:J211"/>
    <mergeCell ref="C212:J212"/>
    <mergeCell ref="C214:F214"/>
    <mergeCell ref="G214:J214"/>
    <mergeCell ref="D215:F215"/>
    <mergeCell ref="D216:F216"/>
    <mergeCell ref="D217:F217"/>
    <mergeCell ref="D218:F218"/>
    <mergeCell ref="D197:F197"/>
    <mergeCell ref="D183:G183"/>
    <mergeCell ref="D153:F153"/>
    <mergeCell ref="C156:F156"/>
    <mergeCell ref="G116:I116"/>
    <mergeCell ref="G124:K124"/>
    <mergeCell ref="G115:I115"/>
    <mergeCell ref="D133:F133"/>
    <mergeCell ref="D134:F134"/>
    <mergeCell ref="D143:F143"/>
    <mergeCell ref="D146:F146"/>
    <mergeCell ref="C122:K122"/>
    <mergeCell ref="C125:K125"/>
    <mergeCell ref="J204:L204"/>
    <mergeCell ref="J205:L205"/>
    <mergeCell ref="J207:L207"/>
    <mergeCell ref="C204:C209"/>
    <mergeCell ref="D160:F160"/>
    <mergeCell ref="G202:I202"/>
    <mergeCell ref="G206:I206"/>
    <mergeCell ref="G204:I204"/>
    <mergeCell ref="D205:F205"/>
    <mergeCell ref="D206:F206"/>
    <mergeCell ref="D202:F202"/>
    <mergeCell ref="D204:F204"/>
    <mergeCell ref="D201:F201"/>
    <mergeCell ref="G201:I201"/>
    <mergeCell ref="D162:F162"/>
    <mergeCell ref="D163:F163"/>
    <mergeCell ref="D164:F164"/>
    <mergeCell ref="E170:F170"/>
    <mergeCell ref="D198:F198"/>
    <mergeCell ref="D199:F199"/>
    <mergeCell ref="D195:F195"/>
    <mergeCell ref="D193:F193"/>
    <mergeCell ref="G190:I190"/>
    <mergeCell ref="G191:I191"/>
    <mergeCell ref="J209:L209"/>
    <mergeCell ref="J208:L208"/>
    <mergeCell ref="G208:I208"/>
    <mergeCell ref="G209:I209"/>
    <mergeCell ref="G205:I205"/>
    <mergeCell ref="D209:F209"/>
    <mergeCell ref="D207:F207"/>
    <mergeCell ref="D208:F208"/>
    <mergeCell ref="G207:I207"/>
    <mergeCell ref="G89:I89"/>
    <mergeCell ref="G100:I100"/>
    <mergeCell ref="D96:F96"/>
    <mergeCell ref="G109:I109"/>
    <mergeCell ref="G117:I117"/>
    <mergeCell ref="G150:I150"/>
    <mergeCell ref="G151:I151"/>
    <mergeCell ref="G145:I145"/>
    <mergeCell ref="G146:I146"/>
    <mergeCell ref="D148:F148"/>
    <mergeCell ref="D149:F149"/>
    <mergeCell ref="G132:I132"/>
    <mergeCell ref="D135:F135"/>
    <mergeCell ref="D137:F137"/>
    <mergeCell ref="G133:I133"/>
    <mergeCell ref="G134:I134"/>
    <mergeCell ref="G135:I135"/>
    <mergeCell ref="G136:I136"/>
    <mergeCell ref="G101:I101"/>
    <mergeCell ref="G102:I102"/>
    <mergeCell ref="G103:I103"/>
    <mergeCell ref="C126:K126"/>
    <mergeCell ref="D102:F102"/>
    <mergeCell ref="D103:F103"/>
    <mergeCell ref="D88:F88"/>
    <mergeCell ref="D89:F89"/>
    <mergeCell ref="D196:F196"/>
    <mergeCell ref="D194:F194"/>
    <mergeCell ref="H183:I183"/>
    <mergeCell ref="D144:F144"/>
    <mergeCell ref="D145:F145"/>
    <mergeCell ref="D147:F147"/>
    <mergeCell ref="D105:F105"/>
    <mergeCell ref="G99:I99"/>
    <mergeCell ref="C186:L186"/>
    <mergeCell ref="C187:L187"/>
    <mergeCell ref="D182:G182"/>
    <mergeCell ref="D161:F161"/>
    <mergeCell ref="C157:F157"/>
    <mergeCell ref="G90:I90"/>
    <mergeCell ref="G91:I91"/>
    <mergeCell ref="G92:I92"/>
    <mergeCell ref="G93:I93"/>
    <mergeCell ref="G94:I94"/>
    <mergeCell ref="G88:I88"/>
    <mergeCell ref="G106:I106"/>
    <mergeCell ref="G107:I107"/>
    <mergeCell ref="G105:I105"/>
    <mergeCell ref="D104:F104"/>
    <mergeCell ref="D200:F200"/>
    <mergeCell ref="C7:K7"/>
    <mergeCell ref="C8:K8"/>
    <mergeCell ref="C9:K9"/>
    <mergeCell ref="G197:I197"/>
    <mergeCell ref="G198:I198"/>
    <mergeCell ref="G199:I199"/>
    <mergeCell ref="G200:I200"/>
    <mergeCell ref="D150:F150"/>
    <mergeCell ref="D151:F151"/>
    <mergeCell ref="D152:F152"/>
    <mergeCell ref="D190:F190"/>
    <mergeCell ref="D191:F191"/>
    <mergeCell ref="D188:F188"/>
    <mergeCell ref="D189:F189"/>
    <mergeCell ref="D192:F192"/>
    <mergeCell ref="G188:I188"/>
    <mergeCell ref="D127:F127"/>
    <mergeCell ref="G119:I119"/>
    <mergeCell ref="G110:I110"/>
    <mergeCell ref="G111:I111"/>
    <mergeCell ref="G112:I112"/>
    <mergeCell ref="G113:I113"/>
    <mergeCell ref="G114:I114"/>
    <mergeCell ref="D203:F203"/>
    <mergeCell ref="G203:I203"/>
    <mergeCell ref="G189:I189"/>
    <mergeCell ref="G194:I194"/>
    <mergeCell ref="G195:I195"/>
    <mergeCell ref="G196:I196"/>
    <mergeCell ref="G161:G164"/>
    <mergeCell ref="G152:I152"/>
    <mergeCell ref="G192:I192"/>
    <mergeCell ref="G193:I193"/>
    <mergeCell ref="C179:G179"/>
    <mergeCell ref="C180:G180"/>
    <mergeCell ref="C181:G181"/>
    <mergeCell ref="C167:D167"/>
    <mergeCell ref="C168:D168"/>
    <mergeCell ref="C173:D173"/>
    <mergeCell ref="C166:D166"/>
    <mergeCell ref="H182:I182"/>
    <mergeCell ref="C172:D172"/>
    <mergeCell ref="C174:D174"/>
    <mergeCell ref="E176:F176"/>
    <mergeCell ref="C185:L185"/>
    <mergeCell ref="E169:F169"/>
    <mergeCell ref="D46:F46"/>
    <mergeCell ref="D57:K57"/>
    <mergeCell ref="D58:K58"/>
    <mergeCell ref="C52:K52"/>
    <mergeCell ref="C50:K50"/>
    <mergeCell ref="C49:K49"/>
    <mergeCell ref="C71:K71"/>
    <mergeCell ref="G68:K68"/>
    <mergeCell ref="C76:F76"/>
    <mergeCell ref="G46:I46"/>
    <mergeCell ref="C72:K72"/>
    <mergeCell ref="C73:K73"/>
    <mergeCell ref="D47:F47"/>
    <mergeCell ref="G47:I47"/>
    <mergeCell ref="C67:F67"/>
    <mergeCell ref="G67:K67"/>
    <mergeCell ref="D62:K62"/>
    <mergeCell ref="C66:F66"/>
    <mergeCell ref="D56:K56"/>
    <mergeCell ref="G74:K74"/>
    <mergeCell ref="D44:F44"/>
    <mergeCell ref="D24:F24"/>
    <mergeCell ref="D28:F28"/>
    <mergeCell ref="D45:F45"/>
    <mergeCell ref="D25:F25"/>
    <mergeCell ref="D26:F26"/>
    <mergeCell ref="C27:F27"/>
    <mergeCell ref="D43:F43"/>
    <mergeCell ref="D34:F34"/>
    <mergeCell ref="D35:F35"/>
    <mergeCell ref="D40:F40"/>
    <mergeCell ref="D41:F41"/>
    <mergeCell ref="D42:F42"/>
    <mergeCell ref="G42:I42"/>
    <mergeCell ref="G43:I43"/>
    <mergeCell ref="G20:I20"/>
    <mergeCell ref="G21:I21"/>
    <mergeCell ref="G22:I22"/>
    <mergeCell ref="G23:I23"/>
    <mergeCell ref="G27:J27"/>
    <mergeCell ref="G24:I24"/>
    <mergeCell ref="G29:K29"/>
    <mergeCell ref="G28:I28"/>
    <mergeCell ref="G40:I40"/>
    <mergeCell ref="G41:I41"/>
    <mergeCell ref="G25:I25"/>
    <mergeCell ref="G26:I26"/>
    <mergeCell ref="G86:I86"/>
    <mergeCell ref="D83:F83"/>
    <mergeCell ref="D84:F84"/>
    <mergeCell ref="D85:F85"/>
    <mergeCell ref="D86:F86"/>
    <mergeCell ref="G69:K69"/>
    <mergeCell ref="G76:K76"/>
    <mergeCell ref="C74:F74"/>
    <mergeCell ref="G87:I87"/>
    <mergeCell ref="D87:F87"/>
    <mergeCell ref="C77:K77"/>
    <mergeCell ref="C78:K78"/>
    <mergeCell ref="C75:F75"/>
    <mergeCell ref="G85:I85"/>
    <mergeCell ref="G75:K75"/>
    <mergeCell ref="D79:F79"/>
    <mergeCell ref="G79:I79"/>
    <mergeCell ref="D92:F92"/>
    <mergeCell ref="D219:F219"/>
    <mergeCell ref="D229:F229"/>
    <mergeCell ref="D230:F230"/>
    <mergeCell ref="G227:I227"/>
    <mergeCell ref="C244:L244"/>
    <mergeCell ref="C234:K234"/>
    <mergeCell ref="C242:L242"/>
    <mergeCell ref="E236:K236"/>
    <mergeCell ref="E237:K237"/>
    <mergeCell ref="E239:K239"/>
    <mergeCell ref="E238:K238"/>
    <mergeCell ref="E240:K240"/>
    <mergeCell ref="C239:D239"/>
    <mergeCell ref="C240:D240"/>
    <mergeCell ref="C236:D236"/>
    <mergeCell ref="C237:D237"/>
    <mergeCell ref="C238:D238"/>
    <mergeCell ref="C235:D235"/>
    <mergeCell ref="E235:K235"/>
    <mergeCell ref="C243:L243"/>
    <mergeCell ref="G229:I229"/>
    <mergeCell ref="G230:I230"/>
    <mergeCell ref="G228:I228"/>
    <mergeCell ref="G232:I232"/>
    <mergeCell ref="G231:I231"/>
    <mergeCell ref="G215:I215"/>
    <mergeCell ref="C232:F232"/>
    <mergeCell ref="D225:F225"/>
    <mergeCell ref="D224:F224"/>
    <mergeCell ref="D223:F223"/>
    <mergeCell ref="D222:F222"/>
    <mergeCell ref="D221:F221"/>
    <mergeCell ref="C231:F231"/>
    <mergeCell ref="G216:I216"/>
    <mergeCell ref="G217:I217"/>
    <mergeCell ref="G218:I218"/>
    <mergeCell ref="G219:I219"/>
    <mergeCell ref="G220:I220"/>
    <mergeCell ref="G221:I221"/>
    <mergeCell ref="G222:I222"/>
    <mergeCell ref="G223:I223"/>
    <mergeCell ref="G224:I224"/>
    <mergeCell ref="D226:F226"/>
    <mergeCell ref="G226:I226"/>
    <mergeCell ref="D227:F227"/>
    <mergeCell ref="D220:F220"/>
    <mergeCell ref="G225:I225"/>
    <mergeCell ref="D108:F108"/>
    <mergeCell ref="D109:F109"/>
    <mergeCell ref="D93:F93"/>
    <mergeCell ref="D101:F101"/>
    <mergeCell ref="D98:F98"/>
    <mergeCell ref="D94:F94"/>
    <mergeCell ref="D95:F95"/>
    <mergeCell ref="D228:F228"/>
    <mergeCell ref="D113:F113"/>
    <mergeCell ref="D112:F112"/>
    <mergeCell ref="D111:F111"/>
    <mergeCell ref="D100:F100"/>
    <mergeCell ref="D110:F110"/>
    <mergeCell ref="D119:F119"/>
    <mergeCell ref="C121:K121"/>
    <mergeCell ref="C123:K123"/>
    <mergeCell ref="G127:I127"/>
    <mergeCell ref="G128:I128"/>
    <mergeCell ref="G129:I129"/>
    <mergeCell ref="G130:I130"/>
    <mergeCell ref="G131:I131"/>
    <mergeCell ref="G118:I118"/>
    <mergeCell ref="C124:F124"/>
    <mergeCell ref="J206:L206"/>
    <mergeCell ref="G97:I97"/>
    <mergeCell ref="G98:I98"/>
    <mergeCell ref="C158:F158"/>
    <mergeCell ref="C159:F159"/>
    <mergeCell ref="G147:I147"/>
    <mergeCell ref="G148:I148"/>
    <mergeCell ref="G149:I149"/>
    <mergeCell ref="D136:F136"/>
    <mergeCell ref="D139:F139"/>
    <mergeCell ref="D140:F140"/>
    <mergeCell ref="D141:F141"/>
    <mergeCell ref="D142:F142"/>
    <mergeCell ref="G137:I137"/>
    <mergeCell ref="G138:I138"/>
    <mergeCell ref="G139:I139"/>
    <mergeCell ref="G140:I140"/>
    <mergeCell ref="G141:I141"/>
    <mergeCell ref="G143:I143"/>
    <mergeCell ref="G144:I144"/>
    <mergeCell ref="G104:I104"/>
    <mergeCell ref="D128:F128"/>
    <mergeCell ref="D129:F129"/>
    <mergeCell ref="D106:F106"/>
    <mergeCell ref="D107:F107"/>
    <mergeCell ref="D91:F91"/>
    <mergeCell ref="C155:F155"/>
    <mergeCell ref="G142:I142"/>
    <mergeCell ref="C11:F11"/>
    <mergeCell ref="D90:F90"/>
    <mergeCell ref="D99:F99"/>
    <mergeCell ref="D118:F118"/>
    <mergeCell ref="D117:F117"/>
    <mergeCell ref="D116:F116"/>
    <mergeCell ref="D115:F115"/>
    <mergeCell ref="D114:F114"/>
    <mergeCell ref="C14:F14"/>
    <mergeCell ref="C19:F19"/>
    <mergeCell ref="C29:F29"/>
    <mergeCell ref="D20:F20"/>
    <mergeCell ref="D21:F21"/>
    <mergeCell ref="C68:F68"/>
    <mergeCell ref="C69:F69"/>
    <mergeCell ref="D36:F36"/>
    <mergeCell ref="D37:F37"/>
    <mergeCell ref="D38:F38"/>
    <mergeCell ref="D39:F39"/>
    <mergeCell ref="D130:F130"/>
    <mergeCell ref="G153:I153"/>
    <mergeCell ref="C2:K2"/>
    <mergeCell ref="C4:K4"/>
    <mergeCell ref="C3:K3"/>
    <mergeCell ref="G66:K66"/>
    <mergeCell ref="C51:K51"/>
    <mergeCell ref="C65:K65"/>
    <mergeCell ref="C64:K64"/>
    <mergeCell ref="C55:K55"/>
    <mergeCell ref="C16:F16"/>
    <mergeCell ref="C17:F17"/>
    <mergeCell ref="D18:F18"/>
    <mergeCell ref="D22:F22"/>
    <mergeCell ref="G16:K16"/>
    <mergeCell ref="C5:F5"/>
    <mergeCell ref="C12:F12"/>
    <mergeCell ref="C13:F13"/>
    <mergeCell ref="G12:I12"/>
    <mergeCell ref="G13:I13"/>
    <mergeCell ref="G14:I14"/>
    <mergeCell ref="G11:I11"/>
    <mergeCell ref="G17:I17"/>
    <mergeCell ref="G18:I18"/>
    <mergeCell ref="G5:K5"/>
    <mergeCell ref="G39:I39"/>
    <mergeCell ref="L12:L14"/>
    <mergeCell ref="G19:I19"/>
    <mergeCell ref="C10:F10"/>
    <mergeCell ref="G10:K10"/>
    <mergeCell ref="D131:F131"/>
    <mergeCell ref="D132:F132"/>
    <mergeCell ref="D138:F138"/>
    <mergeCell ref="G80:I80"/>
    <mergeCell ref="G81:I81"/>
    <mergeCell ref="G108:I108"/>
    <mergeCell ref="G82:I82"/>
    <mergeCell ref="G83:I83"/>
    <mergeCell ref="G84:I84"/>
    <mergeCell ref="G95:I95"/>
    <mergeCell ref="G96:I96"/>
    <mergeCell ref="D80:F80"/>
    <mergeCell ref="D81:F81"/>
    <mergeCell ref="D82:F82"/>
    <mergeCell ref="D97:F97"/>
    <mergeCell ref="D30:F30"/>
    <mergeCell ref="D31:F31"/>
    <mergeCell ref="D32:F32"/>
    <mergeCell ref="D33:F33"/>
    <mergeCell ref="D23:F23"/>
    <mergeCell ref="A21:B26"/>
    <mergeCell ref="M30:U45"/>
    <mergeCell ref="L59:L61"/>
    <mergeCell ref="A59:A62"/>
    <mergeCell ref="B59:B62"/>
    <mergeCell ref="C59:C62"/>
    <mergeCell ref="D59:H59"/>
    <mergeCell ref="D60:H60"/>
    <mergeCell ref="D61:H61"/>
    <mergeCell ref="I59:K59"/>
    <mergeCell ref="I60:K60"/>
    <mergeCell ref="I61:K61"/>
    <mergeCell ref="G32:I32"/>
    <mergeCell ref="G33:I33"/>
    <mergeCell ref="G34:I34"/>
    <mergeCell ref="G44:I44"/>
    <mergeCell ref="L30:L44"/>
    <mergeCell ref="G45:I45"/>
    <mergeCell ref="G35:I35"/>
    <mergeCell ref="G36:I36"/>
    <mergeCell ref="G37:I37"/>
    <mergeCell ref="G38:I38"/>
    <mergeCell ref="G30:I30"/>
    <mergeCell ref="G31:I31"/>
  </mergeCells>
  <phoneticPr fontId="3" type="noConversion"/>
  <conditionalFormatting sqref="C52:K52">
    <cfRule type="expression" dxfId="212" priority="161">
      <formula>$J$19=TRUE</formula>
    </cfRule>
  </conditionalFormatting>
  <conditionalFormatting sqref="C78:K78">
    <cfRule type="expression" dxfId="211" priority="146">
      <formula>$G$75=TRUE</formula>
    </cfRule>
    <cfRule type="expression" dxfId="210" priority="158">
      <formula>$G$74=TRUE</formula>
    </cfRule>
    <cfRule type="expression" dxfId="209" priority="168">
      <formula>$G$75=TRUE</formula>
    </cfRule>
  </conditionalFormatting>
  <conditionalFormatting sqref="C126:K126 G129:I152 J129:K153 G153">
    <cfRule type="expression" dxfId="208" priority="156">
      <formula>$G$124=TRUE</formula>
    </cfRule>
  </conditionalFormatting>
  <conditionalFormatting sqref="D58">
    <cfRule type="expression" dxfId="207" priority="182">
      <formula>AND($D$56=TRUE,$D$57="A transition plan has already been adopted")</formula>
    </cfRule>
  </conditionalFormatting>
  <conditionalFormatting sqref="D176">
    <cfRule type="expression" dxfId="206" priority="153">
      <formula>$D$175=TRUE</formula>
    </cfRule>
  </conditionalFormatting>
  <conditionalFormatting sqref="D30:F44">
    <cfRule type="expression" dxfId="205" priority="31">
      <formula>$G$29=TRUE</formula>
    </cfRule>
  </conditionalFormatting>
  <conditionalFormatting sqref="D45:F47">
    <cfRule type="expression" dxfId="204" priority="29">
      <formula>$G$29=FALSE</formula>
    </cfRule>
  </conditionalFormatting>
  <conditionalFormatting sqref="D80:F119">
    <cfRule type="expression" dxfId="203" priority="20">
      <formula>$G$75=TRUE</formula>
    </cfRule>
    <cfRule type="expression" dxfId="202" priority="19">
      <formula>$G$74=TRUE</formula>
    </cfRule>
  </conditionalFormatting>
  <conditionalFormatting sqref="D128:F128">
    <cfRule type="expression" dxfId="201" priority="25">
      <formula>$D$128="VALUE INCONSISTENCY"</formula>
    </cfRule>
  </conditionalFormatting>
  <conditionalFormatting sqref="D129:F153">
    <cfRule type="expression" dxfId="200" priority="80">
      <formula>$D129="VALUE INCONSISTENCY"</formula>
    </cfRule>
  </conditionalFormatting>
  <conditionalFormatting sqref="D183:G183">
    <cfRule type="expression" dxfId="199" priority="190">
      <formula>$D$182="YES"</formula>
    </cfRule>
  </conditionalFormatting>
  <conditionalFormatting sqref="D80:I80 G81:I82 D81:F119">
    <cfRule type="expression" dxfId="198" priority="17">
      <formula>$G$75=TRUE</formula>
    </cfRule>
  </conditionalFormatting>
  <conditionalFormatting sqref="D216:J225 D226:D230 J226:J230 G229:J229 G230">
    <cfRule type="expression" dxfId="197" priority="8">
      <formula>$G$214=TRUE</formula>
    </cfRule>
  </conditionalFormatting>
  <conditionalFormatting sqref="D57:K57">
    <cfRule type="expression" dxfId="196" priority="3">
      <formula>$D$56=FALSE</formula>
    </cfRule>
  </conditionalFormatting>
  <conditionalFormatting sqref="D59:K62">
    <cfRule type="expression" dxfId="195" priority="4">
      <formula>$D$57=""</formula>
    </cfRule>
    <cfRule type="expression" dxfId="194" priority="5">
      <formula>$D$57="A transition plan has already been adopted"</formula>
    </cfRule>
  </conditionalFormatting>
  <conditionalFormatting sqref="E169:E170">
    <cfRule type="expression" dxfId="193" priority="221">
      <formula>$E169=template_label_missing_value</formula>
    </cfRule>
    <cfRule type="expression" dxfId="192" priority="220">
      <formula>$E169=template_label_ok</formula>
    </cfRule>
  </conditionalFormatting>
  <conditionalFormatting sqref="E176">
    <cfRule type="expression" dxfId="191" priority="196">
      <formula>$E$176=template_label_missing_value</formula>
    </cfRule>
    <cfRule type="expression" dxfId="190" priority="197">
      <formula>$E$176=template_label_ok</formula>
    </cfRule>
  </conditionalFormatting>
  <conditionalFormatting sqref="E236:K240">
    <cfRule type="expression" dxfId="189" priority="149">
      <formula>$E$235=TRUE</formula>
    </cfRule>
  </conditionalFormatting>
  <conditionalFormatting sqref="G76">
    <cfRule type="expression" dxfId="188" priority="173">
      <formula>$G$75=TRUE</formula>
    </cfRule>
  </conditionalFormatting>
  <conditionalFormatting sqref="G159:G161">
    <cfRule type="expression" dxfId="187" priority="143">
      <formula>$G159=template_label_missing_value</formula>
    </cfRule>
    <cfRule type="expression" dxfId="186" priority="144">
      <formula>$G159=template_label_ok</formula>
    </cfRule>
    <cfRule type="expression" dxfId="185" priority="23">
      <formula>$G159=template_label_value_inconsistency</formula>
    </cfRule>
  </conditionalFormatting>
  <conditionalFormatting sqref="G226:G227">
    <cfRule type="expression" dxfId="184" priority="151">
      <formula>$G$214=TRUE</formula>
    </cfRule>
  </conditionalFormatting>
  <conditionalFormatting sqref="G80:I82">
    <cfRule type="expression" dxfId="183" priority="16">
      <formula>$G$74=TRUE</formula>
    </cfRule>
  </conditionalFormatting>
  <conditionalFormatting sqref="G228:I228">
    <cfRule type="expression" dxfId="182" priority="26">
      <formula>$G$214=TRUE</formula>
    </cfRule>
  </conditionalFormatting>
  <conditionalFormatting sqref="G12:J13">
    <cfRule type="expression" dxfId="181" priority="165">
      <formula>$G$10=TRUE</formula>
    </cfRule>
  </conditionalFormatting>
  <conditionalFormatting sqref="G14:J14">
    <cfRule type="expression" dxfId="180" priority="34">
      <formula>$G$10=FALSE</formula>
    </cfRule>
  </conditionalFormatting>
  <conditionalFormatting sqref="G21:J24">
    <cfRule type="expression" dxfId="179" priority="164">
      <formula>$J$19=TRUE</formula>
    </cfRule>
  </conditionalFormatting>
  <conditionalFormatting sqref="G30:J44">
    <cfRule type="expression" dxfId="178" priority="30">
      <formula>AND($G$29=TRUE,$J$19=TRUE)</formula>
    </cfRule>
  </conditionalFormatting>
  <conditionalFormatting sqref="G45:J47">
    <cfRule type="expression" dxfId="177" priority="28">
      <formula>OR($J$19=FALSE,$G$29=FALSE)</formula>
    </cfRule>
  </conditionalFormatting>
  <conditionalFormatting sqref="G80:J82">
    <cfRule type="expression" dxfId="176" priority="14">
      <formula>$G$75=TRUE</formula>
    </cfRule>
  </conditionalFormatting>
  <conditionalFormatting sqref="G10:K10">
    <cfRule type="expression" dxfId="175" priority="166">
      <formula>$D$105="YES"</formula>
    </cfRule>
  </conditionalFormatting>
  <conditionalFormatting sqref="G68:K69">
    <cfRule type="expression" dxfId="174" priority="93">
      <formula>$G$29=FALSE</formula>
    </cfRule>
  </conditionalFormatting>
  <conditionalFormatting sqref="G75:K75">
    <cfRule type="expression" dxfId="173" priority="159">
      <formula>$G$74=TRUE</formula>
    </cfRule>
  </conditionalFormatting>
  <conditionalFormatting sqref="G83:K119">
    <cfRule type="expression" dxfId="172" priority="172">
      <formula>$G$75=TRUE</formula>
    </cfRule>
    <cfRule type="expression" dxfId="171" priority="160">
      <formula>$G$74=TRUE</formula>
    </cfRule>
    <cfRule type="expression" dxfId="170" priority="157">
      <formula>$G$75=TRUE</formula>
    </cfRule>
  </conditionalFormatting>
  <conditionalFormatting sqref="G128:K128">
    <cfRule type="expression" dxfId="169" priority="155">
      <formula>$G$124=TRUE</formula>
    </cfRule>
  </conditionalFormatting>
  <conditionalFormatting sqref="H182">
    <cfRule type="expression" dxfId="168" priority="192">
      <formula>$H$182=template_label_missing_value</formula>
    </cfRule>
    <cfRule type="expression" dxfId="167" priority="191">
      <formula>$H$182=template_label_ok</formula>
    </cfRule>
  </conditionalFormatting>
  <conditionalFormatting sqref="H183">
    <cfRule type="expression" dxfId="166" priority="189">
      <formula>$H$183=template_label_ok</formula>
    </cfRule>
    <cfRule type="expression" dxfId="165" priority="188">
      <formula>$H$183=template_label_missing_value</formula>
    </cfRule>
    <cfRule type="expression" dxfId="164" priority="1">
      <formula>$H$183=template_label_value_inconsistency</formula>
    </cfRule>
  </conditionalFormatting>
  <conditionalFormatting sqref="J80:J82">
    <cfRule type="expression" dxfId="163" priority="13">
      <formula>$G$74=TRUE</formula>
    </cfRule>
  </conditionalFormatting>
  <conditionalFormatting sqref="J80:K82">
    <cfRule type="expression" dxfId="162" priority="11">
      <formula>$G$75=TRUE</formula>
    </cfRule>
  </conditionalFormatting>
  <conditionalFormatting sqref="K30:K44">
    <cfRule type="expression" dxfId="161" priority="2">
      <formula>AND($G30&lt;&gt;"", $J30&lt;&gt;"")</formula>
    </cfRule>
  </conditionalFormatting>
  <conditionalFormatting sqref="K30:K47">
    <cfRule type="expression" dxfId="160" priority="27">
      <formula>OR($J$19=FALSE,$G$29=FALSE)</formula>
    </cfRule>
  </conditionalFormatting>
  <conditionalFormatting sqref="K80:K82">
    <cfRule type="expression" dxfId="159" priority="10">
      <formula>$G$74=TRUE</formula>
    </cfRule>
    <cfRule type="expression" dxfId="158" priority="9">
      <formula>$G$75=TRUE</formula>
    </cfRule>
  </conditionalFormatting>
  <conditionalFormatting sqref="K159:K160">
    <cfRule type="expression" dxfId="157" priority="231">
      <formula>$K$159="OK"</formula>
    </cfRule>
    <cfRule type="expression" dxfId="156" priority="237">
      <formula>$K$159="MISSING VALUE"</formula>
    </cfRule>
  </conditionalFormatting>
  <conditionalFormatting sqref="K161:K164 K166 K232">
    <cfRule type="expression" dxfId="155" priority="223">
      <formula>$K161="OK"</formula>
    </cfRule>
    <cfRule type="expression" dxfId="154" priority="222">
      <formula>$K161="MISSING VALUE"</formula>
    </cfRule>
  </conditionalFormatting>
  <conditionalFormatting sqref="K216:K230">
    <cfRule type="expression" dxfId="153" priority="235">
      <formula>$K216=template_label_missing_value</formula>
    </cfRule>
    <cfRule type="expression" dxfId="152" priority="236">
      <formula>$K216=template_label_ok</formula>
    </cfRule>
  </conditionalFormatting>
  <conditionalFormatting sqref="L5">
    <cfRule type="expression" dxfId="151" priority="195">
      <formula>$L$5=template_label_missing_value</formula>
    </cfRule>
    <cfRule type="expression" dxfId="150" priority="193">
      <formula>$L$5= template_label_ok</formula>
    </cfRule>
  </conditionalFormatting>
  <conditionalFormatting sqref="L12">
    <cfRule type="expression" dxfId="149" priority="24">
      <formula>$L$12=template_label_value_inconsistency</formula>
    </cfRule>
    <cfRule type="expression" dxfId="148" priority="148">
      <formula>$L$12=template_label_missing_value</formula>
    </cfRule>
    <cfRule type="expression" dxfId="147" priority="218">
      <formula>$L12=template_label_ok</formula>
    </cfRule>
  </conditionalFormatting>
  <conditionalFormatting sqref="L21">
    <cfRule type="expression" dxfId="146" priority="201">
      <formula>$L$21=template_label_ok</formula>
    </cfRule>
    <cfRule type="expression" dxfId="145" priority="200">
      <formula>$L$21=template_label_missing_value</formula>
    </cfRule>
  </conditionalFormatting>
  <conditionalFormatting sqref="L22">
    <cfRule type="expression" dxfId="144" priority="211">
      <formula>$L$22="OK"</formula>
    </cfRule>
  </conditionalFormatting>
  <conditionalFormatting sqref="L22:L24">
    <cfRule type="expression" dxfId="143" priority="205">
      <formula>$L22=template_label_missing_value</formula>
    </cfRule>
  </conditionalFormatting>
  <conditionalFormatting sqref="L23:L24">
    <cfRule type="expression" dxfId="142" priority="206">
      <formula>$L23=template_label_ok</formula>
    </cfRule>
  </conditionalFormatting>
  <conditionalFormatting sqref="L30:L44">
    <cfRule type="expression" dxfId="141" priority="32">
      <formula>$L$30=template_label_ok</formula>
    </cfRule>
    <cfRule type="expression" dxfId="140" priority="33">
      <formula>$L$30=template_label_missing_value</formula>
    </cfRule>
  </conditionalFormatting>
  <conditionalFormatting sqref="L45">
    <cfRule type="expression" dxfId="139" priority="383">
      <formula>$L$45="MISSING VALUE"</formula>
    </cfRule>
    <cfRule type="expression" dxfId="138" priority="384">
      <formula>$L$45="OK"</formula>
    </cfRule>
  </conditionalFormatting>
  <conditionalFormatting sqref="L52">
    <cfRule type="expression" dxfId="137" priority="147">
      <formula>$L$52=template_label_missing_value</formula>
    </cfRule>
    <cfRule type="expression" dxfId="136" priority="234">
      <formula>$L$52=template_label_ok</formula>
    </cfRule>
  </conditionalFormatting>
  <conditionalFormatting sqref="L56:L59 L62">
    <cfRule type="expression" dxfId="135" priority="176">
      <formula>$L56=template_label_error</formula>
    </cfRule>
    <cfRule type="expression" dxfId="134" priority="179">
      <formula>$L56=template_label_missing_value</formula>
    </cfRule>
    <cfRule type="expression" dxfId="133" priority="180">
      <formula>$L56=template_label_ok</formula>
    </cfRule>
  </conditionalFormatting>
  <conditionalFormatting sqref="L62">
    <cfRule type="expression" dxfId="132" priority="232">
      <formula>$L$62="OK"</formula>
    </cfRule>
  </conditionalFormatting>
  <conditionalFormatting sqref="L74:L75">
    <cfRule type="expression" dxfId="131" priority="170">
      <formula>$L74=template_label_value_inconsistency</formula>
    </cfRule>
  </conditionalFormatting>
  <conditionalFormatting sqref="L74:L76">
    <cfRule type="expression" dxfId="130" priority="171">
      <formula>$L74=template_label_ok</formula>
    </cfRule>
  </conditionalFormatting>
  <conditionalFormatting sqref="L76">
    <cfRule type="expression" dxfId="129" priority="7">
      <formula>$L$76=template_label_invalid_url</formula>
    </cfRule>
    <cfRule type="expression" dxfId="128" priority="169">
      <formula>$L$76=template_label_missing_value</formula>
    </cfRule>
  </conditionalFormatting>
  <conditionalFormatting sqref="L78">
    <cfRule type="expression" dxfId="127" priority="177">
      <formula>$L$78=template_label_ok</formula>
    </cfRule>
    <cfRule type="expression" dxfId="126" priority="178">
      <formula>$L$78=template_label_missing_value</formula>
    </cfRule>
    <cfRule type="expression" dxfId="125" priority="6">
      <formula>$L$78=template_label_value_inconsistency</formula>
    </cfRule>
  </conditionalFormatting>
  <conditionalFormatting sqref="L80:L119">
    <cfRule type="expression" dxfId="124" priority="174">
      <formula>$L80=template_label_missing_value</formula>
    </cfRule>
    <cfRule type="expression" dxfId="123" priority="175">
      <formula>$L80=template_label_ok</formula>
    </cfRule>
    <cfRule type="expression" dxfId="122" priority="22">
      <formula>$L80=template_label_value_inconsistency</formula>
    </cfRule>
  </conditionalFormatting>
  <conditionalFormatting sqref="L126">
    <cfRule type="expression" dxfId="121" priority="185">
      <formula>$L$126=template_label_ok</formula>
    </cfRule>
    <cfRule type="expression" dxfId="120" priority="186">
      <formula>$L$126=template_label_missing_value</formula>
    </cfRule>
  </conditionalFormatting>
  <conditionalFormatting sqref="L128">
    <cfRule type="expression" dxfId="119" priority="84">
      <formula>$D$128=template_label_value_inconsistency</formula>
    </cfRule>
  </conditionalFormatting>
  <conditionalFormatting sqref="L128:L153">
    <cfRule type="expression" dxfId="118" priority="238">
      <formula>$L128=template_label_missing_value</formula>
    </cfRule>
    <cfRule type="expression" dxfId="117" priority="239">
      <formula>$L128=template_label_ok</formula>
    </cfRule>
    <cfRule type="expression" dxfId="116" priority="187">
      <formula>$L128=template_label_value_inconcistency</formula>
    </cfRule>
  </conditionalFormatting>
  <conditionalFormatting sqref="L129:L153">
    <cfRule type="expression" dxfId="115" priority="83">
      <formula>$D$129=template_label_value_inconsistency</formula>
    </cfRule>
  </conditionalFormatting>
  <conditionalFormatting sqref="L130">
    <cfRule type="expression" dxfId="114" priority="82">
      <formula>$D$130=template_label_value_inconsistency</formula>
    </cfRule>
  </conditionalFormatting>
  <conditionalFormatting sqref="L131">
    <cfRule type="expression" dxfId="113" priority="85">
      <formula>$D$131=template_label_value_inconsistency</formula>
    </cfRule>
  </conditionalFormatting>
  <conditionalFormatting sqref="L132">
    <cfRule type="expression" dxfId="112" priority="81">
      <formula>$D$132=template_label_value_inconsistency</formula>
    </cfRule>
  </conditionalFormatting>
  <conditionalFormatting sqref="L133">
    <cfRule type="expression" dxfId="111" priority="56">
      <formula>$D$133=template_label_value_inconsistency</formula>
    </cfRule>
  </conditionalFormatting>
  <conditionalFormatting sqref="L134">
    <cfRule type="expression" dxfId="110" priority="55">
      <formula>$D$134=template_label_value_inconsistency</formula>
    </cfRule>
  </conditionalFormatting>
  <conditionalFormatting sqref="L135">
    <cfRule type="expression" dxfId="109" priority="54">
      <formula>$D$135=template_label_value_inconsistency</formula>
    </cfRule>
  </conditionalFormatting>
  <conditionalFormatting sqref="L136">
    <cfRule type="expression" dxfId="108" priority="53">
      <formula>$D$136=template_label_value_inconsistency</formula>
    </cfRule>
  </conditionalFormatting>
  <conditionalFormatting sqref="L137">
    <cfRule type="expression" dxfId="107" priority="52">
      <formula>$D$137=template_label_value_inconsistency</formula>
    </cfRule>
  </conditionalFormatting>
  <conditionalFormatting sqref="L138">
    <cfRule type="expression" dxfId="106" priority="51">
      <formula>$D$138=template_label_value_inconsistency</formula>
    </cfRule>
  </conditionalFormatting>
  <conditionalFormatting sqref="L139">
    <cfRule type="expression" dxfId="105" priority="50">
      <formula>$D$139=template_label_value_inconsistency</formula>
    </cfRule>
  </conditionalFormatting>
  <conditionalFormatting sqref="L140">
    <cfRule type="expression" dxfId="104" priority="49">
      <formula>$D$140=template_label_value_inconsistency</formula>
    </cfRule>
  </conditionalFormatting>
  <conditionalFormatting sqref="L141">
    <cfRule type="expression" dxfId="103" priority="48">
      <formula>$D$141=template_label_value_inconsistency</formula>
    </cfRule>
  </conditionalFormatting>
  <conditionalFormatting sqref="L142">
    <cfRule type="expression" dxfId="102" priority="47">
      <formula>$D$142=template_label_value_inconsistency</formula>
    </cfRule>
  </conditionalFormatting>
  <conditionalFormatting sqref="L143">
    <cfRule type="expression" dxfId="101" priority="46">
      <formula>$D$143=template_label_value_inconsistency</formula>
    </cfRule>
  </conditionalFormatting>
  <conditionalFormatting sqref="L144">
    <cfRule type="expression" dxfId="100" priority="45">
      <formula>$D$144=template_label_value_inconsistency</formula>
    </cfRule>
  </conditionalFormatting>
  <conditionalFormatting sqref="L145">
    <cfRule type="expression" dxfId="99" priority="44">
      <formula>$D$145=template_label_value_inconsistency</formula>
    </cfRule>
  </conditionalFormatting>
  <conditionalFormatting sqref="L146">
    <cfRule type="expression" dxfId="98" priority="43">
      <formula>$D$146=template_label_value_inconsistency</formula>
    </cfRule>
  </conditionalFormatting>
  <conditionalFormatting sqref="L147:L148">
    <cfRule type="expression" dxfId="97" priority="41">
      <formula>$D$147=template_label_value_inconsistency</formula>
    </cfRule>
  </conditionalFormatting>
  <conditionalFormatting sqref="L149">
    <cfRule type="expression" dxfId="96" priority="40">
      <formula>$D$149=template_label_value_inconsistency</formula>
    </cfRule>
  </conditionalFormatting>
  <conditionalFormatting sqref="L150">
    <cfRule type="expression" dxfId="95" priority="39">
      <formula>$D$150=template_label_value_inconsistency</formula>
    </cfRule>
  </conditionalFormatting>
  <conditionalFormatting sqref="L151">
    <cfRule type="expression" dxfId="94" priority="38">
      <formula>$D$151=template_label_value_inconsistency</formula>
    </cfRule>
  </conditionalFormatting>
  <conditionalFormatting sqref="L152">
    <cfRule type="expression" dxfId="93" priority="37">
      <formula>$D$152=template_label_value_inconsistency</formula>
    </cfRule>
  </conditionalFormatting>
  <conditionalFormatting sqref="L153">
    <cfRule type="expression" dxfId="92" priority="36">
      <formula>$D$153=template_label_value_inconsistency</formula>
    </cfRule>
  </conditionalFormatting>
  <conditionalFormatting sqref="L236:L240">
    <cfRule type="expression" dxfId="91" priority="145">
      <formula>$L236=template_label_missing_value</formula>
    </cfRule>
    <cfRule type="expression" dxfId="90" priority="229">
      <formula>$L236=template_label_ok</formula>
    </cfRule>
  </conditionalFormatting>
  <conditionalFormatting sqref="M189:M204">
    <cfRule type="expression" dxfId="89" priority="380">
      <formula>$M189=template_label_error</formula>
    </cfRule>
    <cfRule type="expression" dxfId="88" priority="381">
      <formula>$M189=template_label_missing_value</formula>
    </cfRule>
    <cfRule type="expression" dxfId="87" priority="382">
      <formula>$M189=template_label_ok</formula>
    </cfRule>
    <cfRule type="expression" dxfId="86" priority="21">
      <formula>$M189=template_label_value_inconsistency</formula>
    </cfRule>
  </conditionalFormatting>
  <conditionalFormatting sqref="M244">
    <cfRule type="expression" dxfId="85" priority="228">
      <formula>$M$244=template_label_ok</formula>
    </cfRule>
  </conditionalFormatting>
  <dataValidations count="46">
    <dataValidation type="list" allowBlank="1" showInputMessage="1" showErrorMessage="1" sqref="C126:K126 C159" xr:uid="{BB6E8662-F11B-4AE9-87E6-9BE13D672F35}">
      <formula1>enum_ListHectM2</formula1>
    </dataValidation>
    <dataValidation type="decimal" operator="equal" allowBlank="1" showInputMessage="1" showErrorMessage="1" sqref="G12:J13 C171:F171 G129:I153 D161:D164 G81:G119 H216:I225 G216:G227 G229:G230 H229:I229 J80:K119 G228:I228 D22:F22 D30:F44 G80:I80 D23:I24 J189:K203" xr:uid="{B2E4A370-DB82-466E-876C-1893EAE8311C}">
      <formula1>C12</formula1>
    </dataValidation>
    <dataValidation type="custom" showInputMessage="1" showErrorMessage="1" sqref="D177:F177" xr:uid="{7F95C833-AC3F-43B8-85EA-74C2C9B45EAB}">
      <formula1>IF(D176&lt;&gt;"",$D$169-$D$176,"-")</formula1>
    </dataValidation>
    <dataValidation type="custom" showInputMessage="1" showErrorMessage="1" sqref="J161:J162" xr:uid="{B409784A-89F0-4AC8-80EC-F39FF2216546}">
      <formula1>IF(AND(D161&lt;&gt;"",G161&lt;&gt;""),(G161-D161)/D161,"-")</formula1>
    </dataValidation>
    <dataValidation type="custom" allowBlank="1" showInputMessage="1" showErrorMessage="1" sqref="J163" xr:uid="{D3095E8A-212A-48DF-93B7-E970D0CBD1A9}">
      <formula1>IF(AND(D163&lt;&gt;"",G163&lt;&gt;""),(G163-D163)/D163,"-")</formula1>
    </dataValidation>
    <dataValidation type="custom" showInputMessage="1" showErrorMessage="1" sqref="J164" xr:uid="{2206BA3F-BFEC-4140-822A-A9D776739A86}">
      <formula1>IF(AND(D164&lt;&gt;"",G164&lt;&gt;""),(G164-D164)/D164,"0,00")</formula1>
    </dataValidation>
    <dataValidation type="custom" showInputMessage="1" showErrorMessage="1" sqref="L11" xr:uid="{95BA17C5-FCE1-4A28-B8C4-1D9AB3C6E781}">
      <formula1>IF(AND(G11="",J11="",K11=""),"-",SUM(G11:K11))</formula1>
    </dataValidation>
    <dataValidation type="custom" showInputMessage="1" showErrorMessage="1" sqref="K22:K26" xr:uid="{7481E956-D9C9-4330-BF36-E8C8226EB1D0}">
      <formula1>IF(AND(G22="",J22=""),"-",-(1-(J22/G22)))</formula1>
    </dataValidation>
    <dataValidation type="custom" showInputMessage="1" showErrorMessage="1" sqref="K12:K13" xr:uid="{915A2970-63C6-40B3-BD5D-257C48265E51}">
      <formula1>IF(AND(G12="",J12=""),"-",SUM(G12:J12))</formula1>
    </dataValidation>
    <dataValidation type="decimal" operator="equal" showInputMessage="1" showErrorMessage="1" sqref="G128:I128 G30:I44" xr:uid="{D0DDB1C9-A6DF-417E-95CC-00F6AC02DF64}">
      <formula1>G30</formula1>
    </dataValidation>
    <dataValidation type="list" allowBlank="1" showInputMessage="1" showErrorMessage="1" sqref="D182:G182 E239:K239" xr:uid="{0E0C7A5D-97E5-4949-8297-28F3ED32330B}">
      <formula1>enum_ListYesNo</formula1>
    </dataValidation>
    <dataValidation type="list" operator="equal" allowBlank="1" showInputMessage="1" showErrorMessage="1" sqref="J21" xr:uid="{43DD04F0-09A4-43A5-9384-4793FDFC7556}">
      <formula1>enum_ListOfFutureYears</formula1>
    </dataValidation>
    <dataValidation type="list" operator="equal" allowBlank="1" showInputMessage="1" showErrorMessage="1" sqref="G21:I21" xr:uid="{16F8FE01-CA83-4EF1-BAFC-2D9ABE2790BD}">
      <formula1>enum_ListOfPastYears</formula1>
    </dataValidation>
    <dataValidation type="decimal" operator="lessThanOrEqual" allowBlank="1" showInputMessage="1" showErrorMessage="1" sqref="D170" xr:uid="{307FEF83-D4F1-491C-ACF9-C51B8CC5FF7C}">
      <formula1>D169</formula1>
    </dataValidation>
    <dataValidation type="decimal" operator="greaterThanOrEqual" allowBlank="1" showInputMessage="1" showErrorMessage="1" sqref="D169" xr:uid="{9D83E98F-5DAC-4E06-8F35-7C9E1FB185F5}">
      <formula1>D170</formula1>
    </dataValidation>
    <dataValidation operator="equal" showInputMessage="1" showErrorMessage="1" sqref="G14:J14" xr:uid="{36F88BA9-B536-466F-993A-FC93940593F6}"/>
    <dataValidation type="decimal" operator="lessThanOrEqual" showInputMessage="1" showErrorMessage="1" sqref="G5:K5" xr:uid="{5889F029-3147-4EC0-81A4-7827C5286256}">
      <formula1>G5</formula1>
    </dataValidation>
    <dataValidation type="list" allowBlank="1" showInputMessage="1" showErrorMessage="1" sqref="C78:K78 G204:I204" xr:uid="{5B875B97-80A9-43A1-9D24-28F77F207359}">
      <formula1>enum_ListUnitMeasurement_mass_only</formula1>
    </dataValidation>
    <dataValidation type="list" allowBlank="1" showInputMessage="1" showErrorMessage="1" sqref="D189:F203" xr:uid="{86ED8F12-3B15-41F8-A482-BBF69AEAD6D3}">
      <formula1>enum_ListTypeOfWastes</formula1>
    </dataValidation>
    <dataValidation type="list" allowBlank="1" showInputMessage="1" showErrorMessage="1" sqref="G189:I203 J216:J230" xr:uid="{468FA835-924F-4099-92AB-F4A9369DDA2E}">
      <formula1>enum_ListUnitMeasurement</formula1>
    </dataValidation>
    <dataValidation type="custom" showInputMessage="1" showErrorMessage="1" sqref="G10:K10 G29 J19 G75:K75 D56:K56 G124:K124 G214:J214 E235:K235 D175" xr:uid="{79B3037F-99D1-4D80-AEDA-79DAE4CA8778}">
      <formula1>OR(D10=TRUE,D10=FALSE)</formula1>
    </dataValidation>
    <dataValidation allowBlank="1" showInputMessage="1" showErrorMessage="1" promptTitle="Warning" prompt=" High climate impact sectors are those listed in NACE Sections A to H and Section L as defined in Annex I to_x000a_Regulation (EC) No 1893/2006._x000a_" sqref="C56" xr:uid="{552F652E-CB42-4A72-9085-99DB9DDF4FA5}"/>
    <dataValidation type="list" allowBlank="1" showInputMessage="1" showErrorMessage="1" sqref="D57:K57" xr:uid="{DD16DCD3-9948-4FCF-82A3-38FD54885DEB}">
      <formula1>enum_ImplementationStatus</formula1>
    </dataValidation>
    <dataValidation allowBlank="1" showInputMessage="1" showErrorMessage="1" promptTitle="GHG intensity location based" prompt="total GHG emissions location based / turnover" sqref="C66:F66 C68:F68" xr:uid="{3D30DB62-CBD1-4832-B529-C45860071600}"/>
    <dataValidation allowBlank="1" showInputMessage="1" showErrorMessage="1" promptTitle="GHG intensity market based" prompt="total GHG emissions market based / turnover" sqref="C67:F67 C69:F69" xr:uid="{6C5EBFD2-F3E6-457C-89FE-287DD4F6CFBB}"/>
    <dataValidation allowBlank="1" showInputMessage="1" showErrorMessage="1" promptTitle="Formula" prompt="Water consumption = Water withdrawal - Water discharge from undertaking production processes" sqref="C177" xr:uid="{273E5F27-9CA2-4255-9DDB-A8BFDBFD4525}"/>
    <dataValidation type="decimal" operator="lessThanOrEqual" showInputMessage="1" showErrorMessage="1" sqref="J30:J44 J22:J23" xr:uid="{56611176-B94D-46AB-9FE2-3BBE997D250F}">
      <formula1>G22</formula1>
    </dataValidation>
    <dataValidation type="custom" showInputMessage="1" showErrorMessage="1" sqref="D25:J25" xr:uid="{872D81DA-BAD6-4809-89DD-0C9EF998EEDF}">
      <formula1>IF(AND(D22="",D23=""),"-",SUM(D22,D23))</formula1>
    </dataValidation>
    <dataValidation type="custom" showInputMessage="1" showErrorMessage="1" sqref="D26:J26" xr:uid="{7A443401-04C0-405E-8E6F-6079A18DA311}">
      <formula1>IF(OR(D22="",D24=""),"-",SUM(D22,D24))</formula1>
    </dataValidation>
    <dataValidation type="list" allowBlank="1" showInputMessage="1" showErrorMessage="1" sqref="C128:C153" xr:uid="{1F4C2619-5EB1-4404-A206-97996D90405F}">
      <formula1>IdentifierOfSiteTypedAxis</formula1>
    </dataValidation>
    <dataValidation type="custom" allowBlank="1" showInputMessage="1" showErrorMessage="1" sqref="K30:K47" xr:uid="{5C9C1647-5771-45C5-B90A-9E87FA9B94F0}">
      <formula1>IF(AND(G30="-",J30="-"),"-",-(1-(J30/G30)))</formula1>
    </dataValidation>
    <dataValidation type="custom" showInputMessage="1" showErrorMessage="1" sqref="D46:F46" xr:uid="{44F45501-5837-46C3-96B1-E4222DA4C3C6}">
      <formula1>IF(G29=FALSE, "-", IF(AND(D22="", D23="", D45=""), "-", IF(SUM(D22, D23, D45)=0, "-", SUM(D22, D23, D45))))</formula1>
    </dataValidation>
    <dataValidation type="custom" showInputMessage="1" showErrorMessage="1" sqref="D47:F47" xr:uid="{E4B2B9D1-B383-4B4F-B790-D64C7B78A755}">
      <formula1>IF(G29=FALSE,"-",IF(OR(D22="",D24="",D45=""),"-",SUM(D22,D24,D45)))</formula1>
    </dataValidation>
    <dataValidation type="custom" showInputMessage="1" showErrorMessage="1" sqref="G46:I46" xr:uid="{0751A80F-F799-486B-8A58-C1479490F9B3}">
      <formula1>IF(G29=FALSE, "-", IF(AND(G22="", G23="", G45=""), "-", IF(SUM(G22, G23, G45)=0, "-", SUM(G22, G23, G45))))</formula1>
    </dataValidation>
    <dataValidation type="custom" showInputMessage="1" showErrorMessage="1" sqref="J46" xr:uid="{E43EE622-6D1B-413F-AB34-081C8173F6D4}">
      <formula1>IF(G29=FALSE, "-", IF(AND(J22="", J23="", J45=""), "-", IF(SUM(J22, J23, J45)=0, "-", SUM(J22, J23, J45))))</formula1>
    </dataValidation>
    <dataValidation type="custom" showInputMessage="1" showErrorMessage="1" sqref="J128:J153" xr:uid="{59814BE8-8296-41E6-93BC-6FEFD17DA5F5}">
      <formula1>IF(K128=TRUE,FALSE,TRUE)</formula1>
    </dataValidation>
    <dataValidation type="custom" showInputMessage="1" showErrorMessage="1" sqref="K128:K153" xr:uid="{88A1E46D-E83C-4E9F-A0DE-55C292A1A46D}">
      <formula1>IF(J128=TRUE,FALSE,TRUE)</formula1>
    </dataValidation>
    <dataValidation type="custom" allowBlank="1" showInputMessage="1" showErrorMessage="1" sqref="G74:K74" xr:uid="{6E2338D0-2F0D-4D0A-B4CA-1A58E7B2BF06}">
      <formula1>OR(G74=TRUE,G74=FALSE)</formula1>
    </dataValidation>
    <dataValidation type="list" allowBlank="1" showInputMessage="1" showErrorMessage="1" sqref="D80:F119" xr:uid="{F72FC679-E517-46A1-8346-75FC58B90566}">
      <formula1>enum_ListPollutants</formula1>
    </dataValidation>
    <dataValidation type="decimal" operator="lessThanOrEqual" allowBlank="1" showInputMessage="1" showErrorMessage="1" sqref="D176" xr:uid="{C9BF1CFC-1624-433F-AC79-2FA2FCF246EA}">
      <formula1>D169</formula1>
    </dataValidation>
    <dataValidation type="list" allowBlank="1" showInputMessage="1" showErrorMessage="1" sqref="I59:K59" xr:uid="{A2F67FB3-8D80-44E5-B4D9-38272DD5BBE5}">
      <formula1>enum_ListOfFutureYears</formula1>
    </dataValidation>
    <dataValidation type="list" allowBlank="1" showInputMessage="1" showErrorMessage="1" sqref="I60:K60" xr:uid="{3AB71E39-AEC7-4282-98CD-7DD433B069AA}">
      <formula1>enum_ListMonth</formula1>
    </dataValidation>
    <dataValidation type="list" allowBlank="1" showInputMessage="1" showErrorMessage="1" sqref="I61:K61" xr:uid="{DD05FCA5-8F67-490C-B21F-4D0482E1FD75}">
      <formula1>enum_ListDays</formula1>
    </dataValidation>
    <dataValidation type="decimal" operator="greaterThanOrEqual" allowBlank="1" showInputMessage="1" showErrorMessage="1" sqref="G22:I22" xr:uid="{C6E81543-3F7B-449E-B130-59140CE64924}">
      <formula1>J22</formula1>
    </dataValidation>
    <dataValidation type="decimal" operator="lessThanOrEqual" showInputMessage="1" showErrorMessage="1" promptTitle="Warning (if applicable)" sqref="J24" xr:uid="{A2145979-D2B9-4B59-A910-5926E9B28F15}">
      <formula1>G24</formula1>
    </dataValidation>
    <dataValidation allowBlank="1" showInputMessage="1" showErrorMessage="1" promptTitle="Additional rows" sqref="D218:F218" xr:uid="{AEF9E320-326D-4C50-A483-ABF8EA93704A}"/>
  </dataValidations>
  <hyperlinks>
    <hyperlink ref="C3" r:id="rId1" location="id-69" display="https://xbrl.efrag.org/e-esrs/2024-12-17-efrag-vsme.xhtml - id-69" xr:uid="{A785C4AD-0B95-4DFF-8E0F-42C6AA2490C1}"/>
    <hyperlink ref="C4" r:id="rId2" location="id-182" display="82-89" xr:uid="{6E69B136-F254-47B7-B50D-A93C8C0EB4AB}"/>
    <hyperlink ref="C50" r:id="rId3" location="id-117" xr:uid="{F4FBEC3B-EB83-4C2E-BF21-170D8E8EC19A}"/>
    <hyperlink ref="C51" r:id="rId4" location="id-407" display="https://xbrl.efrag.org/e-esrs/2024-12-17-efrag-vsme.xhtml - id-407" xr:uid="{638437FC-4D75-49FF-9726-757B299FE400}"/>
    <hyperlink ref="G17" r:id="rId5" location="id-118" display="Paragraph 54(b)" xr:uid="{6244A818-EC4F-48E7-AC84-5301360C89F9}"/>
    <hyperlink ref="J17" r:id="rId6" xr:uid="{E32722CC-268A-4C7E-9180-338FD28E0511}"/>
    <hyperlink ref="D18" r:id="rId7" location="id-196" display="90-109" xr:uid="{4DC839D1-20DB-4E09-B7A5-D0A0BC9CEA23}"/>
    <hyperlink ref="G18" r:id="rId8" location="id-400" display="216-222" xr:uid="{E3D76769-85A8-4F19-A90F-D66D27110333}"/>
    <hyperlink ref="D28" r:id="rId9" location="id-398" display="214-215" xr:uid="{9B118876-E4AD-4C1B-AAE8-97DB029124EE}"/>
    <hyperlink ref="C72" r:id="rId10" location="id-74" display="https://xbrl.efrag.org/e-esrs/2024-12-17-efrag-vsme.xhtml - id-74" xr:uid="{54D7F3A9-797B-42E9-80BE-327193BDEABC}"/>
    <hyperlink ref="C73" r:id="rId11" location="id-236" display="110-133" xr:uid="{190D4415-42A4-4D43-B287-B72DD914B8A3}"/>
    <hyperlink ref="C156" r:id="rId12" location="id-76" display="https://xbrl.efrag.org/e-esrs/2024-12-17-efrag-vsme.xhtml - id-76" xr:uid="{2B618F2F-2DC0-4B63-9CF0-7E12FA147AFC}"/>
    <hyperlink ref="C180" r:id="rId13" location="id-83" display="https://xbrl.efrag.org/e-esrs/2024-12-17-efrag-vsme.xhtml - id-83" xr:uid="{323BFE79-70EB-4CE2-B9C3-91002A40B67F}"/>
    <hyperlink ref="C186" r:id="rId14" location="id-85" xr:uid="{34774E4F-7D92-4F86-BA01-3E69B542A9F0}"/>
    <hyperlink ref="C157" r:id="rId15" location="id-264" display="138-141" xr:uid="{DE71F164-3008-4FB9-8EB2-54AB4ECA1636}"/>
    <hyperlink ref="C181" r:id="rId16" location="id-290" display="https://xbrl.efrag.org/e-esrs/2024-12-17-efrag-vsme.xhtml - id-290" xr:uid="{4787EE6B-65DD-4D37-9003-F57D95D7C3E3}"/>
    <hyperlink ref="C187" r:id="rId17" location="id-291" display="160-172" xr:uid="{303B2981-FEC6-4744-9300-EA413929D31B}"/>
    <hyperlink ref="A236" r:id="rId18" xr:uid="{CE1E6101-0E49-497A-B96E-9AA552B3DA6C}"/>
    <hyperlink ref="A237" r:id="rId19" xr:uid="{D6097D81-5D35-4F54-B57E-EE02A65BAB6D}"/>
    <hyperlink ref="A238" r:id="rId20" xr:uid="{7D374740-6DC7-48F4-A99B-089AC209753B}"/>
    <hyperlink ref="A239" r:id="rId21" xr:uid="{150D4BD8-5DE5-4581-8DAE-4C82C7A62056}"/>
    <hyperlink ref="A240" r:id="rId22" display="https://xbrl.efrag.org/eng/interactive/vsme/vsme-standard-annex-i/2025-07-30-ec-rec/58" xr:uid="{EC797813-6429-4DF9-9AA7-E7EF9CEF1CEF}"/>
    <hyperlink ref="B236" r:id="rId23" xr:uid="{13F06C86-825D-430E-ABF7-7903D099B2C8}"/>
    <hyperlink ref="K17" r:id="rId24" xr:uid="{80C232F7-EF01-47F1-B37B-B9465DA971AE}"/>
    <hyperlink ref="C122" r:id="rId25" location="id-75" display="https://xbrl.efrag.org/e-esrs/2024-12-17-efrag-vsme.xhtml - id-75" xr:uid="{477C8E1D-8E11-49EC-A489-12E70C4FFE67}"/>
    <hyperlink ref="C123" r:id="rId26" location="id-260" display="134-137" xr:uid="{79B9B2C7-556F-4990-B4AB-2754EB7A61A1}"/>
    <hyperlink ref="C212" r:id="rId27" location="id-87" xr:uid="{6BE3DB22-1314-4A4E-8418-B1701C7E0A19}"/>
    <hyperlink ref="C213" r:id="rId28" location="id-353" display="173-174" xr:uid="{6218306B-0419-442B-876E-2B32619A0D96}"/>
    <hyperlink ref="C65" r:id="rId29" location="id-73" display="https://xbrl.efrag.org/e-esrs/2024-12-17-efrag-vsme.xhtml - id-73" xr:uid="{1F3ACB44-AE6B-4E80-908F-73BEA496FD95}"/>
    <hyperlink ref="C243" r:id="rId30" location="id-30" display="https://xbrl.efrag.org/e-esrs/2024-12-17-efrag-vsme.xhtml - id-30" xr:uid="{8191E0B1-15FD-4663-A70D-17A84E710C3E}"/>
    <hyperlink ref="C167" r:id="rId31" location="id-81" display="https://xbrl.efrag.org/e-esrs/2024-12-17-efrag-vsme.xhtml - id-81" xr:uid="{50BA1BA2-81A0-434C-BE2B-6B94DE19A97B}"/>
    <hyperlink ref="C168" r:id="rId32" location="id-287" display="156-158" xr:uid="{C3E10B43-4D88-4B0F-993A-7DC6D4C5CC2C}"/>
    <hyperlink ref="C173" r:id="rId33" location="id-81" display="35-36" xr:uid="{9EB17F31-FED5-4A9A-843D-A89DC4708454}"/>
    <hyperlink ref="C174" r:id="rId34" location="id-268" display="142-155" xr:uid="{62AC2A99-3F34-4CBE-BDAF-11563855801F}"/>
    <hyperlink ref="C17:D17" r:id="rId35" location="id-70" display="https://xbrl.efrag.org/e-esrs/2024-12-17-efrag-vsme.xhtml - id-70" xr:uid="{365B931A-E911-46E5-8026-EF90DCBF85DB}"/>
    <hyperlink ref="C27:D27" r:id="rId36" location="id-112" display="50-53" xr:uid="{3DBD1A28-DC3E-40DC-9509-EA926F607751}"/>
    <hyperlink ref="G27:J27" r:id="rId37" display="https://xbrl.efrag.org/eng/interactive/vsme/vsme-standard-annex-i/2025-07-30-ec-rec/54/d" xr:uid="{FA2393F6-873E-45A0-B6D3-FA6AD5E1230A}"/>
    <hyperlink ref="A59" r:id="rId38" location="id-123" display="https://xbrl.efrag.org/e-esrs/2024-12-17-efrag-vsme.xhtml - id-123" xr:uid="{5155F932-F89F-44F2-BA89-74CDEA4817F0}"/>
    <hyperlink ref="C9" r:id="rId39" location="id-182" display="82-89" xr:uid="{029124E6-E37E-4A98-93EE-BBDACB0FCB2C}"/>
    <hyperlink ref="A56" r:id="rId40" display="https://xbrl.efrag.org/eng/interactive/vsme/vsme-standard-annex-i/2025-07-30-ec-rec/55" xr:uid="{23B02246-8F88-4A95-9887-8E8471F2E145}"/>
    <hyperlink ref="B56" r:id="rId41" xr:uid="{9F22D8E3-2E8E-40D0-AC4E-03DD91E3F81F}"/>
    <hyperlink ref="C173:D173" r:id="rId42" display="https://xbrl.efrag.org/eng/interactive/vsme/vsme-standard-annex-i/2025-07-30-ec-rec/36" xr:uid="{08D12C5F-C868-4CDA-BEBA-B676529CB904}"/>
    <hyperlink ref="C14:F14" location="template_FUEL_CONVERTER" display="Fuels (see Fuel Converter on Fuels worksheet)" xr:uid="{A029E2CF-74B8-43AA-80AE-64A2E02A3995}"/>
    <hyperlink ref="C3:K3" r:id="rId43" display="https://xbrl.efrag.org/eng/interactive/vsme/vsme-standard-annex-i/2025-07-30-ec-rec/29" xr:uid="{A7F34C4A-10FB-4424-87DE-42EEA8CEA76B}"/>
    <hyperlink ref="C17:F17" r:id="rId44" display="https://xbrl.efrag.org/eng/interactive/vsme/vsme-standard-annex-i/2025-07-30-ec-rec/30" xr:uid="{6C59972C-0668-42F7-8CCD-9AE86FBC38EC}"/>
    <hyperlink ref="G17:I17" r:id="rId45" display="54(b)" xr:uid="{364F15A6-5B4F-4259-A406-B7092E211F2F}"/>
    <hyperlink ref="C27:F27" r:id="rId46" display="50-53" xr:uid="{8F729633-44CB-405F-AA82-B6C89F3DC8FB}"/>
    <hyperlink ref="C50:K50" r:id="rId47" display="54(e)" xr:uid="{81FE59B6-40CF-4742-9ED9-F7B4E2BB2BA2}"/>
    <hyperlink ref="A59:A62" r:id="rId48" display="https://xbrl.efrag.org/eng/interactive/vsme/vsme-standard-annex-i/2025-07-30-ec-rec/56" xr:uid="{E5EC0612-0918-4B4B-A021-782AE8A55141}"/>
    <hyperlink ref="C65:K65" r:id="rId49" display="https://xbrl.efrag.org/eng/interactive/vsme/vsme-standard-annex-i/2025-07-30-ec-rec/31" xr:uid="{6BA0BFF5-A51C-400C-923E-90191FD8A81A}"/>
    <hyperlink ref="C72:K72" r:id="rId50" display="https://xbrl.efrag.org/eng/interactive/vsme/vsme-standard-annex-i/2025-07-30-ec-rec/32" xr:uid="{E0C050FC-D9FD-4445-912B-9ECE1F8C79C6}"/>
    <hyperlink ref="C122:K122" r:id="rId51" display="https://xbrl.efrag.org/eng/interactive/vsme/vsme-standard-annex-i/2025-07-30-ec-rec/33" xr:uid="{18D02725-37E9-4912-AE40-1A2F1932692F}"/>
    <hyperlink ref="C156:F156" r:id="rId52" display="https://xbrl.efrag.org/eng/interactive/vsme/vsme-standard-annex-i/2025-07-30-ec-rec/34" xr:uid="{1E725C46-C679-4052-AC6C-9B43FAF420E9}"/>
    <hyperlink ref="C167:D167" r:id="rId53" display="https://xbrl.efrag.org/eng/interactive/vsme/vsme-standard-annex-i/2025-07-30-ec-rec/35" xr:uid="{C5F7B0AA-FEE2-4F07-BF55-E0D6B598140A}"/>
    <hyperlink ref="C180:G180" r:id="rId54" display="https://xbrl.efrag.org/eng/interactive/vsme/vsme-standard-annex-i/2025-07-30-ec-rec/37" xr:uid="{CF11B702-3061-477D-9A98-D7C8FC2FC832}"/>
    <hyperlink ref="C186:L186" r:id="rId55" display="38(a) and 38(b)" xr:uid="{2916048F-E00D-4F8E-AA1D-D98CC76634A5}"/>
    <hyperlink ref="C212:J212" r:id="rId56" display="38(c)" xr:uid="{A7A770CA-3A79-460E-AE7B-758D7EA2788E}"/>
    <hyperlink ref="C243:L243" r:id="rId57" display="https://xbrl.efrag.org/eng/interactive/vsme/vsme-standard-annex-i/2025-07-30-ec-rec/10" xr:uid="{6FEDD8C0-AEF6-4F30-9CF0-705DD5797E5C}"/>
    <hyperlink ref="C4:K4" r:id="rId58" display="18-25" xr:uid="{9EF65291-E505-474B-9BE5-B5513B30FAE6}"/>
    <hyperlink ref="C9:K9" r:id="rId59" display="18-25" xr:uid="{7644CC2E-A677-4966-AD28-38088652B08F}"/>
    <hyperlink ref="D18:F18" r:id="rId60" display="26-45" xr:uid="{54415CE9-C842-4018-BC58-63FE91DAE286}"/>
    <hyperlink ref="G18:I18" r:id="rId61" display="152-158" xr:uid="{A90AEE1E-5ECE-408D-9BD8-277E2DDFCB76}"/>
    <hyperlink ref="K18" r:id="rId62" xr:uid="{0BF03DAE-C5A3-44DA-BFFE-62B915B319D5}"/>
    <hyperlink ref="J18" r:id="rId63" xr:uid="{0ABBAA9C-B0D1-4D7C-9925-9696EA01191B}"/>
    <hyperlink ref="D28:F28" r:id="rId64" display="150-151" xr:uid="{6241CA82-2598-4088-946B-5FE503CFC4E2}"/>
    <hyperlink ref="C51:K51" r:id="rId65" display="https://xbrl.efrag.org/eng/interactive/vsme/vsme-guidance-annex-ii/2025-07-30-ec-rec/159" xr:uid="{9853AE71-58EB-44FC-8CCE-6D936F389CAD}"/>
    <hyperlink ref="B59:B62" r:id="rId66" display="160-163" xr:uid="{1AAF8898-D351-4F85-AB32-DF4AFB737470}"/>
    <hyperlink ref="C73:K73" r:id="rId67" display="46-69" xr:uid="{093BCEF6-7E0E-4310-B894-FE2122CAA6D0}"/>
    <hyperlink ref="C123:K123" r:id="rId68" display="70-73" xr:uid="{ADDB76C3-31EF-4D03-989E-01BA41940AF0}"/>
    <hyperlink ref="C157:F157" r:id="rId69" display="74-76" xr:uid="{838EAE7C-DEF6-45AF-93B2-5485EB91BDBA}"/>
    <hyperlink ref="C168:D168" r:id="rId70" display="91-93" xr:uid="{64255AC5-0D7D-4A44-A10E-4AC1C376065E}"/>
    <hyperlink ref="C174:D174" r:id="rId71" display="77-90" xr:uid="{049A5BD7-EF46-4CF5-878F-A00421D86BF2}"/>
    <hyperlink ref="C181:G181" r:id="rId72" display="https://xbrl.efrag.org/eng/interactive/vsme/vsme-guidance-annex-ii/2025-07-30-ec-rec/94" xr:uid="{D20F3F3A-72EE-4E84-8911-A4E5F49DEFBB}"/>
    <hyperlink ref="C187:L187" r:id="rId73" display="95-107" xr:uid="{5A214E87-D657-4C42-B387-6E155E48A5C4}"/>
    <hyperlink ref="C213:J213" r:id="rId74" display="108-109" xr:uid="{0AB5E17B-E870-404D-AFF4-29BA2E5C3CDB}"/>
    <hyperlink ref="A57" r:id="rId75" display="https://xbrl.efrag.org/eng/interactive/vsme/vsme-standard-annex-i/2025-07-30-ec-rec/55" xr:uid="{B6903554-697A-4452-BEBE-247674A76982}"/>
    <hyperlink ref="A58" r:id="rId76" display="https://xbrl.efrag.org/eng/interactive/vsme/vsme-standard-annex-i/2025-07-30-ec-rec/55" xr:uid="{D40997F3-EF24-42C9-B393-8ADB9CCD237A}"/>
    <hyperlink ref="C8" r:id="rId77" location="id-69" display="https://xbrl.efrag.org/e-esrs/2024-12-17-efrag-vsme.xhtml - id-69" xr:uid="{F3F27717-5413-4050-89AF-53FE39F2890B}"/>
    <hyperlink ref="C8:K8" r:id="rId78" display="https://xbrl.efrag.org/eng/interactive/vsme/vsme-standard-annex-i/2025-07-30-ec-rec/29" xr:uid="{0387C2A5-8C66-45EA-B369-FB19C4F01A64}"/>
    <hyperlink ref="B240" r:id="rId79" xr:uid="{AC7CCD47-0010-4354-8D4F-FA1ED42CD433}"/>
    <hyperlink ref="B57" r:id="rId80" xr:uid="{59702F8A-53C4-4D6F-88E3-3025243DA959}"/>
    <hyperlink ref="B58" r:id="rId81" xr:uid="{9AF9DFDD-D473-498C-9909-9497928C6F53}"/>
    <hyperlink ref="B237" r:id="rId82" xr:uid="{108E1487-6984-4E23-821C-A1ED53D1FEFD}"/>
    <hyperlink ref="B238" r:id="rId83" xr:uid="{F192B5CB-E03F-42CC-A5C4-D47E630D689F}"/>
    <hyperlink ref="B239" r:id="rId84" xr:uid="{F5FDA725-30B0-43F6-920A-EC7CD1344B13}"/>
  </hyperlinks>
  <pageMargins left="0.7" right="0.7" top="0.75" bottom="0.75" header="0.3" footer="0.3"/>
  <pageSetup orientation="portrait" r:id="rId85"/>
  <drawing r:id="rId8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5E32A-1E4A-4F0D-9737-23BF22D3D4EB}">
  <dimension ref="A1:V101"/>
  <sheetViews>
    <sheetView zoomScale="85" zoomScaleNormal="85" workbookViewId="0">
      <selection activeCell="B14" sqref="B14"/>
    </sheetView>
  </sheetViews>
  <sheetFormatPr baseColWidth="10" defaultColWidth="8.85546875" defaultRowHeight="15" x14ac:dyDescent="0.25"/>
  <cols>
    <col min="1" max="2" width="10" style="7" bestFit="1" customWidth="1"/>
    <col min="3" max="3" width="73.85546875" style="7" customWidth="1"/>
    <col min="4" max="4" width="38.140625" style="7" customWidth="1"/>
    <col min="5" max="5" width="27.85546875" style="7" customWidth="1"/>
    <col min="6" max="7" width="8.85546875" style="7"/>
    <col min="8" max="9" width="21.42578125" style="7" bestFit="1" customWidth="1"/>
    <col min="10" max="16384" width="8.85546875" style="7"/>
  </cols>
  <sheetData>
    <row r="1" spans="1:8" ht="60.75" thickBot="1" x14ac:dyDescent="0.3">
      <c r="A1" s="181" t="str">
        <f>template_label_paragraph_reference</f>
        <v>Paragraph Reference</v>
      </c>
      <c r="B1" s="181" t="str">
        <f>template_label_paragraph_guidance_reference</f>
        <v>Paragraph Guidance Reference</v>
      </c>
    </row>
    <row r="2" spans="1:8" ht="15.75" thickBot="1" x14ac:dyDescent="0.3">
      <c r="C2" s="342" t="str">
        <f>template_label_employee_counting_methodology_for_the_disclosures_below_headcount_full_time_equivalent</f>
        <v>Employee counting methodology for the disclosures below (Headcount or Full time Equivalent linked from B1</v>
      </c>
      <c r="D2" s="343"/>
      <c r="E2" s="344"/>
      <c r="F2" s="345" t="str">
        <f>IF('General Information'!$E$64="","-",'General Information'!$E$64)</f>
        <v>Headcount</v>
      </c>
      <c r="G2" s="345"/>
      <c r="H2" s="346"/>
    </row>
    <row r="3" spans="1:8" ht="15.75" thickBot="1" x14ac:dyDescent="0.3">
      <c r="C3" s="342" t="str">
        <f>template_label_employee_counting_methodology_for_the_disclosures_below_period</f>
        <v>Employee counting methodology for the disclosures below (At the end of the reporting period or as an average across the reporting period linked from B1)</v>
      </c>
      <c r="D3" s="343"/>
      <c r="E3" s="344"/>
      <c r="F3" s="347" t="str">
        <f>IF('General Information'!$E$63="","-",'General Information'!$E$63)</f>
        <v>At the end of the reporting period</v>
      </c>
      <c r="G3" s="348"/>
      <c r="H3" s="349"/>
    </row>
    <row r="5" spans="1:8" ht="15.75" thickBot="1" x14ac:dyDescent="0.3"/>
    <row r="6" spans="1:8" x14ac:dyDescent="0.25">
      <c r="C6" s="350" t="str">
        <f>template_label_b8_workforce_general_characteristics_type_of_contract&amp;" "&amp;template_label_always_to_be_reported</f>
        <v>B8 – Workforce – General characteristics - Type of contract [Always to be reported]</v>
      </c>
      <c r="D6" s="351"/>
      <c r="E6" s="351"/>
      <c r="F6" s="351"/>
      <c r="G6" s="352"/>
      <c r="H6"/>
    </row>
    <row r="7" spans="1:8" x14ac:dyDescent="0.25">
      <c r="C7" s="353" t="s">
        <v>155</v>
      </c>
      <c r="D7" s="354"/>
      <c r="E7" s="354"/>
      <c r="F7" s="354"/>
      <c r="G7" s="355"/>
    </row>
    <row r="8" spans="1:8" x14ac:dyDescent="0.25">
      <c r="C8" s="356" t="s">
        <v>156</v>
      </c>
      <c r="D8" s="369"/>
      <c r="E8" s="369"/>
      <c r="F8" s="369"/>
      <c r="G8" s="370"/>
    </row>
    <row r="9" spans="1:8" x14ac:dyDescent="0.25">
      <c r="C9" s="113" t="str">
        <f>template_label_type_of_contract</f>
        <v>Type of contract</v>
      </c>
      <c r="D9" s="371" t="str">
        <f>template_label_number_of_employees</f>
        <v>Number of employees</v>
      </c>
      <c r="E9" s="372"/>
      <c r="F9" s="372"/>
      <c r="G9" s="373"/>
      <c r="H9" s="114"/>
    </row>
    <row r="10" spans="1:8" x14ac:dyDescent="0.25">
      <c r="C10" s="115" t="str">
        <f>template_label_permanent_contract</f>
        <v>Permanent contract</v>
      </c>
      <c r="D10" s="362">
        <v>1121</v>
      </c>
      <c r="E10" s="363"/>
      <c r="F10" s="363"/>
      <c r="G10" s="364"/>
      <c r="H10" s="12" t="str">
        <f>IF(
    AND(
        OR(
            'General Information'!E32="Option A (Basic Module only)",
            'General Information'!E32="Option B (Basic Module and Comprehensive Module)"
        ),
        D10=""
    ),
    template_label_missing_value,
    IF('General Information'!E32="",
        "",
        template_label_ok
    )
)</f>
        <v>OK</v>
      </c>
    </row>
    <row r="11" spans="1:8" x14ac:dyDescent="0.25">
      <c r="C11" s="115" t="str">
        <f>template_label_temporary_contract</f>
        <v>Temporary contract</v>
      </c>
      <c r="D11" s="374">
        <f>IFERROR(IF(D10="", "-", $D$12 - $D$10), "-")</f>
        <v>25</v>
      </c>
      <c r="E11" s="375"/>
      <c r="F11" s="375"/>
      <c r="G11" s="376"/>
      <c r="H11" s="12"/>
    </row>
    <row r="12" spans="1:8" ht="15.75" thickBot="1" x14ac:dyDescent="0.3">
      <c r="C12" s="116" t="str">
        <f>template_label_total_employees</f>
        <v>Total employees (linked to B1)</v>
      </c>
      <c r="D12" s="377">
        <f>IF('General Information'!$E$62="", "-", VALUE(SUBSTITUTE('General Information'!$E$62, "-", "0")))</f>
        <v>1146</v>
      </c>
      <c r="E12" s="377"/>
      <c r="F12" s="377"/>
      <c r="G12" s="378"/>
      <c r="H12" s="14"/>
    </row>
    <row r="13" spans="1:8" ht="15.75" thickBot="1" x14ac:dyDescent="0.3"/>
    <row r="14" spans="1:8" x14ac:dyDescent="0.25">
      <c r="C14" s="350" t="str">
        <f>template_label_b8_workforce_general_characteristics_gender&amp;" "&amp;template_label_always_to_be_reported</f>
        <v>B8 – Workforce – General characteristics - Gender [Always to be reported]</v>
      </c>
      <c r="D14" s="351"/>
      <c r="E14" s="351"/>
      <c r="F14" s="351"/>
      <c r="G14" s="352"/>
      <c r="H14"/>
    </row>
    <row r="15" spans="1:8" x14ac:dyDescent="0.25">
      <c r="C15" s="353" t="s">
        <v>157</v>
      </c>
      <c r="D15" s="354"/>
      <c r="E15" s="354"/>
      <c r="F15" s="354"/>
      <c r="G15" s="355"/>
    </row>
    <row r="16" spans="1:8" x14ac:dyDescent="0.25">
      <c r="C16" s="356" t="s">
        <v>156</v>
      </c>
      <c r="D16" s="357"/>
      <c r="E16" s="357"/>
      <c r="F16" s="357"/>
      <c r="G16" s="358"/>
    </row>
    <row r="17" spans="3:22" x14ac:dyDescent="0.25">
      <c r="C17" s="117" t="str">
        <f>template_label_gender</f>
        <v>Gender</v>
      </c>
      <c r="D17" s="359" t="str">
        <f>template_label_number_of_employees</f>
        <v>Number of employees</v>
      </c>
      <c r="E17" s="360"/>
      <c r="F17" s="360"/>
      <c r="G17" s="361"/>
    </row>
    <row r="18" spans="3:22" x14ac:dyDescent="0.25">
      <c r="C18" s="118" t="str">
        <f>template_label_male</f>
        <v>Male</v>
      </c>
      <c r="D18" s="362">
        <v>949</v>
      </c>
      <c r="E18" s="363"/>
      <c r="F18" s="363"/>
      <c r="G18" s="364"/>
      <c r="H18" s="365" t="str">
        <f>IF(
    OR(
        'General Information'!E32="Option A (Basic Module only)",
        'General Information'!E32="Option B (Basic Module and Comprehensive Module)"
    ),
    IF(
        NumberOfMaleEmployees+NumberOfFemaleEmployees+NumberOfOtherGenderEmployees+NumberOfNonReportedGenderEmployees=D22,
        template_label_ok,
        template_label_missing_value
    ),
    ""
)</f>
        <v>OK</v>
      </c>
      <c r="I18" s="401" t="str">
        <f>template_label_number_of_employees_warning</f>
        <v xml:space="preserve">ℹ️  Please make sure that the total number of employees is the same as the one provided in the "General Information" sheet cell E55
</v>
      </c>
      <c r="J18" s="401"/>
      <c r="K18" s="401"/>
      <c r="L18" s="401"/>
      <c r="M18" s="401"/>
    </row>
    <row r="19" spans="3:22" x14ac:dyDescent="0.25">
      <c r="C19" s="118" t="str">
        <f>template_label_female</f>
        <v>Female</v>
      </c>
      <c r="D19" s="362">
        <v>194</v>
      </c>
      <c r="E19" s="363"/>
      <c r="F19" s="363"/>
      <c r="G19" s="364"/>
      <c r="H19" s="365"/>
      <c r="I19" s="401"/>
      <c r="J19" s="401"/>
      <c r="K19" s="401"/>
      <c r="L19" s="401"/>
      <c r="M19" s="401"/>
    </row>
    <row r="20" spans="3:22" x14ac:dyDescent="0.25">
      <c r="C20" s="118" t="str">
        <f>template_label_other</f>
        <v>Other</v>
      </c>
      <c r="D20" s="362">
        <v>3</v>
      </c>
      <c r="E20" s="363"/>
      <c r="F20" s="363"/>
      <c r="G20" s="364"/>
      <c r="H20" s="365"/>
      <c r="I20" s="401"/>
      <c r="J20" s="401"/>
      <c r="K20" s="401"/>
      <c r="L20" s="401"/>
      <c r="M20" s="401"/>
    </row>
    <row r="21" spans="3:22" x14ac:dyDescent="0.25">
      <c r="C21" s="118" t="str">
        <f>template_label_not_reported</f>
        <v>Not reported</v>
      </c>
      <c r="D21" s="366">
        <v>0</v>
      </c>
      <c r="E21" s="367"/>
      <c r="F21" s="367"/>
      <c r="G21" s="368"/>
      <c r="H21" s="365"/>
      <c r="I21" s="401"/>
      <c r="J21" s="401"/>
      <c r="K21" s="401"/>
      <c r="L21" s="401"/>
      <c r="M21" s="401"/>
    </row>
    <row r="22" spans="3:22" ht="15.75" thickBot="1" x14ac:dyDescent="0.3">
      <c r="C22" s="116" t="str">
        <f>template_label_total_employees</f>
        <v>Total employees (linked to B1)</v>
      </c>
      <c r="D22" s="377">
        <f>IF('General Information'!$E$62="","-",'General Information'!$E$62)</f>
        <v>1146</v>
      </c>
      <c r="E22" s="377"/>
      <c r="F22" s="377"/>
      <c r="G22" s="378"/>
      <c r="H22" s="15"/>
    </row>
    <row r="23" spans="3:22" ht="15.75" thickBot="1" x14ac:dyDescent="0.3"/>
    <row r="24" spans="3:22" x14ac:dyDescent="0.25">
      <c r="C24" s="383" t="str">
        <f>template_label_b8_workforce_general_characteristics_country_of_employment&amp;" "&amp;template_label_if_applicable</f>
        <v>B8 – Workforce – General characteristics - Country of employment [If applicable]</v>
      </c>
      <c r="D24" s="384"/>
      <c r="E24" s="384"/>
      <c r="F24" s="384"/>
      <c r="G24" s="384"/>
      <c r="H24" s="385"/>
    </row>
    <row r="25" spans="3:22" x14ac:dyDescent="0.25">
      <c r="C25" s="386" t="s">
        <v>158</v>
      </c>
      <c r="D25" s="387"/>
      <c r="E25" s="387"/>
      <c r="F25" s="387"/>
      <c r="G25" s="387"/>
      <c r="H25" s="388"/>
    </row>
    <row r="26" spans="3:22" x14ac:dyDescent="0.25">
      <c r="C26" s="389" t="s">
        <v>156</v>
      </c>
      <c r="D26" s="390"/>
      <c r="E26" s="390"/>
      <c r="F26" s="390"/>
      <c r="G26" s="390"/>
      <c r="H26" s="391"/>
    </row>
    <row r="27" spans="3:22" x14ac:dyDescent="0.25">
      <c r="C27" s="396" t="str">
        <f>template_label_undertaking_operating_in_more_than_one_country</f>
        <v>Does the undertaking operate in more than one country?</v>
      </c>
      <c r="D27" s="397"/>
      <c r="E27" s="398" t="b">
        <v>1</v>
      </c>
      <c r="F27" s="399"/>
      <c r="G27" s="399"/>
      <c r="H27" s="400"/>
    </row>
    <row r="28" spans="3:22" x14ac:dyDescent="0.25">
      <c r="C28" s="392" t="str">
        <f>template_label_country_of_employment_contract</f>
        <v>Country of employment contract</v>
      </c>
      <c r="D28" s="393"/>
      <c r="E28" s="394" t="str">
        <f>template_label_number_of_employees</f>
        <v>Number of employees</v>
      </c>
      <c r="F28" s="394"/>
      <c r="G28" s="394"/>
      <c r="H28" s="395"/>
    </row>
    <row r="29" spans="3:22" ht="14.45" customHeight="1" x14ac:dyDescent="0.25">
      <c r="C29" s="379" t="s">
        <v>7497</v>
      </c>
      <c r="D29" s="380"/>
      <c r="E29" s="381">
        <v>846</v>
      </c>
      <c r="F29" s="381"/>
      <c r="G29" s="381"/>
      <c r="H29" s="382"/>
      <c r="I29" s="12" t="str">
        <f>IF(
    AND(C29="", E29=""),
    "",
    IF(
        AND(C29&lt;&gt;"", E29=""),
        template_label_missing_value,
        IF(
            AND(C29&lt;&gt;"", E29&lt;&gt;""),
            IF(
                $E$29+$E$30+$E$31+$E$32&lt;$E$33,
                template_label_missing_value,
                IF(
                    COUNTIF($C$29:$C$32, C29) &gt; 1,
                    template_label_value_inconsistency,
                    template_label_ok
                )
            ),
            template_label_missing_value
        )
    )
)</f>
        <v>OK</v>
      </c>
      <c r="J29" s="341" t="str">
        <f>template_label_number_of_employees_warning</f>
        <v xml:space="preserve">ℹ️  Please make sure that the total number of employees is the same as the one provided in the "General Information" sheet cell E55
</v>
      </c>
      <c r="K29" s="341"/>
      <c r="L29" s="341"/>
      <c r="M29" s="341"/>
      <c r="N29" s="341"/>
      <c r="O29" s="341"/>
      <c r="P29" s="341"/>
      <c r="Q29" s="341"/>
      <c r="R29" s="341"/>
      <c r="S29" s="341"/>
      <c r="T29" s="341"/>
      <c r="U29" s="341"/>
      <c r="V29" s="341"/>
    </row>
    <row r="30" spans="3:22" x14ac:dyDescent="0.25">
      <c r="C30" s="379" t="s">
        <v>7498</v>
      </c>
      <c r="D30" s="380"/>
      <c r="E30" s="381">
        <v>152</v>
      </c>
      <c r="F30" s="381"/>
      <c r="G30" s="381"/>
      <c r="H30" s="382"/>
      <c r="I30" s="12" t="str">
        <f>IF(
    AND(C30="", E30=""),
    "",
    IF(
        AND(C30&lt;&gt;"", E30=""),
        template_label_missing_value,
        IF(
            AND(C30&lt;&gt;"", E30&lt;&gt;""),
            IF(
                $E$29+$E$30+$E$31+$E$32&lt;$E$33,
                template_label_missing_value,
                IF(
                    COUNTIF($C$29:$C$32, C30) &gt; 1,
                    template_label_value_inconsistency,
                    template_label_ok
                )
            ),
            template_label_missing_value
        )
    )
)</f>
        <v>OK</v>
      </c>
      <c r="J30" s="341"/>
      <c r="K30" s="341"/>
      <c r="L30" s="341"/>
      <c r="M30" s="341"/>
      <c r="N30" s="341"/>
      <c r="O30" s="341"/>
      <c r="P30" s="341"/>
      <c r="Q30" s="341"/>
      <c r="R30" s="341"/>
      <c r="S30" s="341"/>
      <c r="T30" s="341"/>
      <c r="U30" s="341"/>
      <c r="V30" s="341"/>
    </row>
    <row r="31" spans="3:22" x14ac:dyDescent="0.25">
      <c r="C31" s="379" t="s">
        <v>7499</v>
      </c>
      <c r="D31" s="380"/>
      <c r="E31" s="381">
        <v>74</v>
      </c>
      <c r="F31" s="381"/>
      <c r="G31" s="381"/>
      <c r="H31" s="382"/>
      <c r="I31" s="12" t="str">
        <f>IF(
    AND(C31="", E31=""),
    "",
    IF(
        AND(C31&lt;&gt;"", E31=""),
        template_label_missing_value,
        IF(
            AND(C31&lt;&gt;"", E31&lt;&gt;""),
            IF(
                $E$29+$E$30+$E$31+$E$32&lt;$E$33,
                template_label_missing_value,
                IF(
                    COUNTIF($C$29:$C$32, C31) &gt; 1,
                    template_label_value_inconsistency,
                    template_label_ok
                )
            ),
            template_label_missing_value
        )
    )
)</f>
        <v>OK</v>
      </c>
      <c r="J31" s="7" t="str">
        <f>template_label_additional_rows_warning</f>
        <v>ℹ️  Lists can be expanded using the little [+] button on the left.  If the number of rows is not sufficient, those can be added by right clicking the second row and selecting "Insert row".</v>
      </c>
    </row>
    <row r="32" spans="3:22" x14ac:dyDescent="0.25">
      <c r="C32" s="379" t="s">
        <v>7500</v>
      </c>
      <c r="D32" s="380"/>
      <c r="E32" s="381">
        <v>74</v>
      </c>
      <c r="F32" s="381"/>
      <c r="G32" s="381"/>
      <c r="H32" s="382"/>
      <c r="I32" s="12" t="str">
        <f>IF(
    AND(C32="", E32=""),
    "",
    IF(
        AND(C32&lt;&gt;"", E32=""),
        template_label_missing_value,
        IF(
            AND(C32&lt;&gt;"", E32&lt;&gt;""),
            IF(
                $E$29+$E$30+$E$31+$E$32&lt;$E$33,
                template_label_missing_value,
                IF(
                    COUNTIF($C$29:$C$32, C32) &gt; 1,
                    template_label_value_inconsistency,
                    template_label_ok
                )
            ),
            template_label_missing_value
        )
    )
)</f>
        <v>OK</v>
      </c>
    </row>
    <row r="33" spans="1:10" ht="15.75" thickBot="1" x14ac:dyDescent="0.3">
      <c r="C33" s="402" t="str">
        <f>template_label_total_employees</f>
        <v>Total employees (linked to B1)</v>
      </c>
      <c r="D33" s="403"/>
      <c r="E33" s="404">
        <f>IF('General Information'!$E$62="","-",'General Information'!$E$62)</f>
        <v>1146</v>
      </c>
      <c r="F33" s="404"/>
      <c r="G33" s="404"/>
      <c r="H33" s="378"/>
      <c r="I33" s="12"/>
    </row>
    <row r="34" spans="1:10" ht="15.75" thickBot="1" x14ac:dyDescent="0.3"/>
    <row r="35" spans="1:10" x14ac:dyDescent="0.25">
      <c r="C35" s="383" t="str">
        <f>template_label_b8_workforce_general_characteristics_turnover_rate&amp;" "&amp;template_label_from&amp;" "&amp;template_starting_date_display&amp;" "&amp;template_label_to&amp;" "&amp;template_ending_date_display&amp;" "&amp;template_label_if_applicable</f>
        <v>B8 – Workforce – General characteristics - Turnover rate from 2025-01-01 to 2025-12-31 [If applicable]</v>
      </c>
      <c r="D35" s="384"/>
      <c r="E35" s="384"/>
      <c r="F35" s="384"/>
      <c r="G35" s="384"/>
      <c r="H35" s="385"/>
    </row>
    <row r="36" spans="1:10" x14ac:dyDescent="0.25">
      <c r="C36" s="353">
        <v>40</v>
      </c>
      <c r="D36" s="354"/>
      <c r="E36" s="354"/>
      <c r="F36" s="354"/>
      <c r="G36" s="354"/>
      <c r="H36" s="355"/>
    </row>
    <row r="37" spans="1:10" x14ac:dyDescent="0.25">
      <c r="C37" s="356">
        <v>118</v>
      </c>
      <c r="D37" s="357"/>
      <c r="E37" s="357"/>
      <c r="F37" s="357"/>
      <c r="G37" s="357"/>
      <c r="H37" s="358"/>
    </row>
    <row r="38" spans="1:10" x14ac:dyDescent="0.25">
      <c r="C38" s="119" t="str">
        <f>template_label_number_of_employees_who_left_during_the_reporting_period</f>
        <v>Number of employees who left during the reporting period</v>
      </c>
      <c r="D38" s="426">
        <v>159</v>
      </c>
      <c r="E38" s="426"/>
      <c r="F38" s="426"/>
      <c r="G38" s="426"/>
      <c r="H38" s="427"/>
      <c r="I38" s="12" t="str">
        <f>IF(
    AND('General Information'!$E$62&lt;50, D38=""),
    "",
    IF(
        AND('General Information'!$E$62&lt;50, D38&lt;&gt;""),
        template_label_ok,
        IF(
            AND('General Information'!$E$62&gt;=50, D38&lt;&gt;""),
            template_label_ok,
            template_label_missing_value
        )
    )
)</f>
        <v>OK</v>
      </c>
    </row>
    <row r="39" spans="1:10" x14ac:dyDescent="0.25">
      <c r="C39" s="119" t="str">
        <f>template_label_number_of_employees_at_the_beginning_of_the_reporting_period</f>
        <v>Number of employees at the beginning of the reporting period</v>
      </c>
      <c r="D39" s="426">
        <v>1071</v>
      </c>
      <c r="E39" s="426"/>
      <c r="F39" s="426"/>
      <c r="G39" s="426"/>
      <c r="H39" s="427"/>
      <c r="I39" s="12" t="str">
        <f>IF(
    AND('General Information'!$E$62&lt;50, D39=""),
    "",
    IF(
        AND('General Information'!$E$62&lt;50, D39&lt;&gt;""),
        template_label_ok,
        IF(
            AND('General Information'!$E$62&gt;=50, D39&lt;&gt;""),
            template_label_ok,
            template_label_missing_value
        )
    )
)</f>
        <v>OK</v>
      </c>
    </row>
    <row r="40" spans="1:10" x14ac:dyDescent="0.25">
      <c r="C40" s="119" t="str">
        <f>template_label_number_of_employees_at_the_end_of_the_reporting_period</f>
        <v>Number of employees at the end of the reporting period</v>
      </c>
      <c r="D40" s="426">
        <v>1146</v>
      </c>
      <c r="E40" s="426"/>
      <c r="F40" s="426"/>
      <c r="G40" s="426"/>
      <c r="H40" s="427"/>
      <c r="I40" s="12" t="str">
        <f>IF(
    AND('General Information'!$E$62&lt;50, D40=""),
    "",
    IF(
        AND('General Information'!$E$62&lt;50, D40&lt;&gt;""),
        template_label_ok,
        IF(
            AND('General Information'!$E$62&gt;=50, D40&lt;&gt;""),
            template_label_ok,
            template_label_missing_value
        )
    )
)</f>
        <v>OK</v>
      </c>
    </row>
    <row r="41" spans="1:10" ht="15.75" thickBot="1" x14ac:dyDescent="0.3">
      <c r="C41" s="66" t="str">
        <f>template_label_employee_turnover_rate_in_the_reporting_period</f>
        <v>Employee turnover rate [%]  in the reporting period</v>
      </c>
      <c r="D41" s="428">
        <f>IF(AND(D38&lt;&gt;"",D39&lt;&gt;"",D40&lt;&gt;""),(D38/((D39+D40)/2)),"-")</f>
        <v>0.14343707713125844</v>
      </c>
      <c r="E41" s="428"/>
      <c r="F41" s="428"/>
      <c r="G41" s="428"/>
      <c r="H41" s="429"/>
    </row>
    <row r="42" spans="1:10" ht="15.75" thickBot="1" x14ac:dyDescent="0.3"/>
    <row r="43" spans="1:10" ht="15.75" thickBot="1" x14ac:dyDescent="0.3">
      <c r="C43" s="412" t="str">
        <f>template_label_b9_workforce_health_and_safety&amp;" "&amp;template_label_from&amp;" "&amp;template_starting_date_display&amp;" "&amp;template_label_to&amp;" "&amp;template_ending_date_display&amp;" "&amp;template_label_always_to_be_reported</f>
        <v>B9 – Workforce – Health and safety from 2025-01-01 to 2025-12-31 [Always to be reported]</v>
      </c>
      <c r="D43" s="413"/>
      <c r="E43" s="413"/>
      <c r="F43" s="413"/>
      <c r="G43" s="413"/>
      <c r="H43" s="414"/>
    </row>
    <row r="44" spans="1:10" x14ac:dyDescent="0.25">
      <c r="A44" s="317" t="s">
        <v>162</v>
      </c>
      <c r="B44" s="320" t="s">
        <v>163</v>
      </c>
      <c r="C44" s="183" t="str">
        <f>template_label_number_of_recordable_work_related_accidents_in_the_reporting_period</f>
        <v>Number of recordable work-related accidents in the reporting period</v>
      </c>
      <c r="D44" s="415">
        <f>(110+11+14)</f>
        <v>135</v>
      </c>
      <c r="E44" s="415"/>
      <c r="F44" s="415"/>
      <c r="G44" s="415"/>
      <c r="H44" s="416"/>
      <c r="I44" s="12" t="str">
        <f>IF(
    AND(
        OR('General Information'!E32="Option A (Basic Module only)", 'General Information'!E32="Option B (Basic Module and Comprehensive Module)"),
        NumberOfRecordableWorkRelatedAccidentsInTheReportingPeriod=""
    ),
    template_label_missing_value,
    IF('General Information'!E32="", "", template_label_ok)
)</f>
        <v>OK</v>
      </c>
    </row>
    <row r="45" spans="1:10" x14ac:dyDescent="0.25">
      <c r="A45" s="317" t="s">
        <v>162</v>
      </c>
      <c r="B45" s="320" t="s">
        <v>163</v>
      </c>
      <c r="C45" s="120" t="str">
        <f>template_label_number_of_hours_worked_by_one_fulltime_employee_in_the_reporting_period</f>
        <v>Number of hours worked by  one full-time employee in the reporting period</v>
      </c>
      <c r="D45" s="417">
        <v>2080</v>
      </c>
      <c r="E45" s="418"/>
      <c r="F45" s="418"/>
      <c r="G45" s="418"/>
      <c r="H45" s="419"/>
      <c r="I45" s="12" t="str">
        <f>IF(D45="", "MISSING VALUE", IF(D45&lt;&gt;2000, "OK", ""))</f>
        <v>OK</v>
      </c>
      <c r="J45" s="7" t="str">
        <f>template_label_health_and_safety_formula_warning</f>
        <v>ℹ️  The undertaking can modify the value in this cell as 2,000 hours is based on the assumption that one full-time worker works 2,000 hours per year. This figure may vary by country or sector, depending on national rules or collective bargaining agreements.</v>
      </c>
    </row>
    <row r="46" spans="1:10" x14ac:dyDescent="0.25">
      <c r="A46" s="317" t="s">
        <v>162</v>
      </c>
      <c r="B46" s="320" t="s">
        <v>163</v>
      </c>
      <c r="C46" s="120" t="str">
        <f>template_label_total_number_of_hours_worked_in_a_year_by_all_employees_in_the_reporting_period</f>
        <v>Total number of hours worked in a year by all employees in the reporting period</v>
      </c>
      <c r="D46" s="420">
        <f>IF('General Information'!E62="","-",D45*'General Information'!E62)</f>
        <v>2383680</v>
      </c>
      <c r="E46" s="421"/>
      <c r="F46" s="421"/>
      <c r="G46" s="421"/>
      <c r="H46" s="422"/>
      <c r="I46" s="12"/>
    </row>
    <row r="47" spans="1:10" ht="15.75" thickBot="1" x14ac:dyDescent="0.3">
      <c r="A47" s="317" t="s">
        <v>162</v>
      </c>
      <c r="B47" s="320" t="s">
        <v>163</v>
      </c>
      <c r="C47" s="149" t="str">
        <f>template_label_rate_of_recordable_work_related_accidents_in_the_reporting_period</f>
        <v>Rate of recordable work-related accidents in the reporting period</v>
      </c>
      <c r="D47" s="423">
        <f>IFERROR(IF(AND(D44&lt;&gt;"", D46&lt;&gt;""), ($D$44/$D$46)*200000, "-"), "-")</f>
        <v>11.327023761578735</v>
      </c>
      <c r="E47" s="424"/>
      <c r="F47" s="424"/>
      <c r="G47" s="424"/>
      <c r="H47" s="425"/>
    </row>
    <row r="48" spans="1:10" ht="30.75" thickBot="1" x14ac:dyDescent="0.3">
      <c r="A48" s="317" t="s">
        <v>164</v>
      </c>
      <c r="B48" s="320" t="s">
        <v>163</v>
      </c>
      <c r="C48" s="148" t="str">
        <f>template_label_number_of_fatalities_as_a_result_of_work_related_injuries_and_work_related_ill_health</f>
        <v>Number of fatalities as a result of work-related injuries and work-related ill health</v>
      </c>
      <c r="D48" s="405">
        <v>0</v>
      </c>
      <c r="E48" s="405"/>
      <c r="F48" s="405"/>
      <c r="G48" s="405"/>
      <c r="H48" s="406"/>
      <c r="I48" s="12" t="str">
        <f>IF(
    AND(
        OR('General Information'!E32="Option A (Basic Module only)", 'General Information'!E32="Option B (Basic Module and Comprehensive Module)"),
        NumberOfFatalitiesAsAResultOfWorkRelatedInjuriesAndWorkRelatedIllHealth=""
    ),
    template_label_missing_value,
    IF('General Information'!E32="", "", template_label_ok)
)</f>
        <v>OK</v>
      </c>
    </row>
    <row r="49" spans="1:9" ht="15.75" thickBot="1" x14ac:dyDescent="0.3"/>
    <row r="50" spans="1:9" x14ac:dyDescent="0.25">
      <c r="C50" s="407" t="str">
        <f>template_label_b10_workforce_remuneration_collective_bargaining_and_training&amp;" "&amp;template_label_from&amp;" "&amp;template_starting_date_display&amp;" "&amp;template_label_to&amp;" "&amp;template_ending_date_display&amp;" "&amp;template_label_always_to_be_reported_if_applicable</f>
        <v>B10 – Workforce – Remuneration collective bargaining and training from 2025-01-01 to 2025-12-31 [Always to be reported + If applicable]</v>
      </c>
      <c r="D50" s="408"/>
      <c r="E50" s="408"/>
      <c r="F50" s="408"/>
      <c r="G50" s="408"/>
      <c r="H50" s="409"/>
    </row>
    <row r="51" spans="1:9" ht="45.75" thickBot="1" x14ac:dyDescent="0.3">
      <c r="A51" s="317" t="s">
        <v>165</v>
      </c>
      <c r="B51" s="317" t="s">
        <v>166</v>
      </c>
      <c r="C51" s="147" t="str">
        <f>template_label_employees_receive_pay_that_is_equal_or_above_applicable_minimum_wage</f>
        <v>Employees receive pay that is equal or above applicable minimum wage determined directly by the national minimum wage law or through a collective bargaining agreement</v>
      </c>
      <c r="D51" s="410" t="s">
        <v>127</v>
      </c>
      <c r="E51" s="410"/>
      <c r="F51" s="410"/>
      <c r="G51" s="410"/>
      <c r="H51" s="411"/>
      <c r="I51" s="12" t="str">
        <f>IF(
    AND(
        OR('General Information'!E32="Option A (Basic Module only)", 'General Information'!E32="Option B (Basic Module and Comprehensive Module)"),
        EmployeesReceivePayEqualOrAboveMinimumWageDeterminedByNationalLawOrCollectiveAgreement=""
    ),
    template_label_missing_value,
    IF('General Information'!E32="", "", template_label_ok)
)</f>
        <v>OK</v>
      </c>
    </row>
    <row r="52" spans="1:9" x14ac:dyDescent="0.25">
      <c r="A52" s="435" t="s">
        <v>167</v>
      </c>
      <c r="B52" s="369" t="s">
        <v>168</v>
      </c>
      <c r="C52" s="146" t="str">
        <f>template_label_number_of_employees_covered_by_collective_bargaining_agreements</f>
        <v>Number of employees covered by collective bargaining agreements</v>
      </c>
      <c r="D52" s="438">
        <v>834</v>
      </c>
      <c r="E52" s="439"/>
      <c r="F52" s="439"/>
      <c r="G52" s="439"/>
      <c r="H52" s="440"/>
      <c r="I52" s="12" t="str">
        <f>IF(
    AND(
        OR('General Information'!E32="Option A (Basic Module only)", 'General Information'!E32="Option B (Basic Module and Comprehensive Module)"),
        D52=""
    ),
    template_label_missing_value,
    IF('General Information'!E32="", "", template_label_ok)
)</f>
        <v>OK</v>
      </c>
    </row>
    <row r="53" spans="1:9" ht="15.75" thickBot="1" x14ac:dyDescent="0.3">
      <c r="A53" s="436"/>
      <c r="B53" s="437"/>
      <c r="C53" s="121" t="str">
        <f>template_label_percentage_of_employees_covered_by_collective_bargaining_agreements</f>
        <v>Percentage of employees covered by collective bargaining agreements [%]</v>
      </c>
      <c r="D53" s="441">
        <f>IF(D52&lt;&gt;"", IF('General Information'!E62=0, "-", D52/'General Information'!E62), "-")</f>
        <v>0.72774869109947649</v>
      </c>
      <c r="E53" s="442"/>
      <c r="F53" s="442"/>
      <c r="G53" s="442"/>
      <c r="H53" s="443"/>
    </row>
    <row r="54" spans="1:9" ht="15.75" thickBot="1" x14ac:dyDescent="0.3"/>
    <row r="55" spans="1:9" x14ac:dyDescent="0.25">
      <c r="C55" s="407" t="str">
        <f>template_label_number_of_annual_training_hours_per_employee_during_the_reporting_period&amp;" "&amp;template_label_from&amp;" "&amp;template_starting_date_display&amp;" "&amp;template_label_to&amp;" "&amp;template_ending_date_display&amp;" "&amp;template_label_always_to_be_reported</f>
        <v>Number of annual training hours per employee during the reporting period from 2025-01-01 to 2025-12-31 [Always to be reported]</v>
      </c>
      <c r="D55" s="408"/>
      <c r="E55" s="408"/>
      <c r="F55" s="408"/>
      <c r="G55" s="408"/>
      <c r="H55" s="409"/>
    </row>
    <row r="56" spans="1:9" x14ac:dyDescent="0.25">
      <c r="C56" s="353" t="s">
        <v>169</v>
      </c>
      <c r="D56" s="354"/>
      <c r="E56" s="354"/>
      <c r="F56" s="354"/>
      <c r="G56" s="354"/>
      <c r="H56" s="355"/>
    </row>
    <row r="57" spans="1:9" x14ac:dyDescent="0.25">
      <c r="C57" s="117" t="str">
        <f>template_label_gender</f>
        <v>Gender</v>
      </c>
      <c r="D57" s="430" t="str">
        <f>template_label_number_of_annual_training_hours_per_employee_during_the_reporting_period</f>
        <v>Number of annual training hours per employee during the reporting period</v>
      </c>
      <c r="E57" s="430"/>
      <c r="F57" s="430"/>
      <c r="G57" s="430"/>
      <c r="H57" s="431"/>
      <c r="I57" s="12"/>
    </row>
    <row r="58" spans="1:9" x14ac:dyDescent="0.25">
      <c r="C58" s="118" t="str">
        <f>template_label_male</f>
        <v>Male</v>
      </c>
      <c r="D58" s="432">
        <f>29936/D18</f>
        <v>31.544783983140146</v>
      </c>
      <c r="E58" s="432"/>
      <c r="F58" s="432"/>
      <c r="G58" s="432"/>
      <c r="H58" s="433"/>
      <c r="I58" s="434" t="str">
        <f>IF(
    OR('General Information'!E32="Option A (Basic Module only)", 'General Information'!E32="Option B (Basic Module and Comprehensive Module)"),
    IF(OR(D58&lt;&gt;"", D59&lt;&gt;"", D60&lt;&gt;"", D61&lt;&gt;""), template_label_ok, template_label_missing_value),
    ""
)</f>
        <v>OK</v>
      </c>
    </row>
    <row r="59" spans="1:9" x14ac:dyDescent="0.25">
      <c r="C59" s="118" t="str">
        <f>template_label_female</f>
        <v>Female</v>
      </c>
      <c r="D59" s="432">
        <f>5753/D19</f>
        <v>29.654639175257731</v>
      </c>
      <c r="E59" s="432"/>
      <c r="F59" s="432"/>
      <c r="G59" s="432"/>
      <c r="H59" s="433"/>
      <c r="I59" s="434"/>
    </row>
    <row r="60" spans="1:9" x14ac:dyDescent="0.25">
      <c r="C60" s="118" t="str">
        <f>template_label_other</f>
        <v>Other</v>
      </c>
      <c r="D60" s="432">
        <v>30.33</v>
      </c>
      <c r="E60" s="432"/>
      <c r="F60" s="432"/>
      <c r="G60" s="432"/>
      <c r="H60" s="433"/>
      <c r="I60" s="434"/>
    </row>
    <row r="61" spans="1:9" x14ac:dyDescent="0.25">
      <c r="C61" s="118" t="str">
        <f>template_label_not_reported</f>
        <v>Not reported</v>
      </c>
      <c r="D61" s="432"/>
      <c r="E61" s="432"/>
      <c r="F61" s="432"/>
      <c r="G61" s="432"/>
      <c r="H61" s="433"/>
      <c r="I61" s="434"/>
    </row>
    <row r="62" spans="1:9" x14ac:dyDescent="0.25">
      <c r="C62" s="461" t="str">
        <f>template_label_average_number_of_annual_training_hours_per_employee</f>
        <v>Average number of annual training hours per employee</v>
      </c>
      <c r="D62" s="462"/>
      <c r="E62" s="462"/>
      <c r="F62" s="462"/>
      <c r="G62" s="462"/>
      <c r="H62" s="463"/>
      <c r="I62" s="12"/>
    </row>
    <row r="63" spans="1:9" ht="15.75" thickBot="1" x14ac:dyDescent="0.3">
      <c r="C63" s="464">
        <f>IFERROR(
    IF(
        AND(D18&lt;&gt;"",D18&lt;&gt;0,D19&lt;&gt;"",D19&lt;&gt;0,D20&lt;&gt;"",D20&lt;&gt;0,D21&lt;&gt;"",D21&lt;&gt;0),
        AVERAGE(D58:D61),
        IF(OR(D18="", D18=0), AVERAGE(D59:D61),
        IF(OR(D19="", D19=0), AVERAGE(D58,D60,D61),
        IF(OR(D20="", D20=0), AVERAGE(D58,D59,D61),
        IF(OR(D21="", D21=0), AVERAGE(D58,D59,D60), "-"))))
    ),
"-")</f>
        <v>30.509807719465957</v>
      </c>
      <c r="D63" s="465"/>
      <c r="E63" s="465"/>
      <c r="F63" s="465"/>
      <c r="G63" s="465"/>
      <c r="H63" s="466"/>
      <c r="I63" s="12"/>
    </row>
    <row r="64" spans="1:9" ht="15.75" thickBot="1" x14ac:dyDescent="0.3"/>
    <row r="65" spans="1:10" ht="15.75" thickBot="1" x14ac:dyDescent="0.3">
      <c r="C65" s="467" t="str">
        <f>template_label_c5_additional_workforce_characteristics&amp;" "&amp;template_label_from&amp;" "&amp;template_starting_date_display&amp;" "&amp;template_label_to&amp;" "&amp;template_ending_date_display&amp;" " &amp; template_label_may</f>
        <v>C5 – Additional (general) workforce characteristics from 2025-01-01 to 2025-12-31 [May (optional)]</v>
      </c>
      <c r="D65" s="468"/>
      <c r="E65" s="468"/>
      <c r="F65" s="468"/>
      <c r="G65" s="468"/>
      <c r="H65" s="469"/>
    </row>
    <row r="66" spans="1:10" x14ac:dyDescent="0.25">
      <c r="A66" s="327">
        <v>59</v>
      </c>
      <c r="B66" s="328" t="s">
        <v>170</v>
      </c>
      <c r="C66" s="122" t="str">
        <f>template_label_number_of_male_employees_at_management_level</f>
        <v>Number of male employees at management level</v>
      </c>
      <c r="D66" s="470">
        <v>155</v>
      </c>
      <c r="E66" s="471"/>
      <c r="F66" s="471"/>
      <c r="G66" s="471"/>
      <c r="H66" s="472"/>
      <c r="I66" s="12" t="str">
        <f>IF(D66&lt;&gt;"", template_label_ok, "")</f>
        <v>OK</v>
      </c>
    </row>
    <row r="67" spans="1:10" x14ac:dyDescent="0.25">
      <c r="A67" s="327">
        <v>59</v>
      </c>
      <c r="B67" s="328" t="s">
        <v>170</v>
      </c>
      <c r="C67" s="123" t="str">
        <f>template_label_number_of_female_employees_at_management_level</f>
        <v>Number of female employees at management level</v>
      </c>
      <c r="D67" s="473">
        <v>27</v>
      </c>
      <c r="E67" s="474"/>
      <c r="F67" s="474"/>
      <c r="G67" s="474"/>
      <c r="H67" s="475"/>
      <c r="I67" s="12" t="str">
        <f>IF(D67&lt;&gt;"", template_label_ok, "")</f>
        <v>OK</v>
      </c>
    </row>
    <row r="68" spans="1:10" ht="15.75" thickBot="1" x14ac:dyDescent="0.3">
      <c r="A68" s="327">
        <v>59</v>
      </c>
      <c r="B68" s="328" t="s">
        <v>170</v>
      </c>
      <c r="C68" s="121" t="str">
        <f>template_label_female_to_male_ratio_at_management_level_for_the_reporting_period</f>
        <v>Female-to-male ratio at management level for the reporting period</v>
      </c>
      <c r="D68" s="476">
        <f>IF(AND(D66&lt;&gt;"",D67&lt;&gt;""),$D$67/$D$66,"-")</f>
        <v>0.17419354838709677</v>
      </c>
      <c r="E68" s="477"/>
      <c r="F68" s="477"/>
      <c r="G68" s="477"/>
      <c r="H68" s="478"/>
    </row>
    <row r="69" spans="1:10" ht="30" x14ac:dyDescent="0.25">
      <c r="A69" s="317">
        <v>60</v>
      </c>
      <c r="B69" s="325" t="s">
        <v>171</v>
      </c>
      <c r="C69" s="124" t="str">
        <f>template_label_total_self_employed_workers_without_personnel_that_are_working_exclusively_for_the_undertaking</f>
        <v>Total self-employed workers without personnel that are working exclusively for the undertaking</v>
      </c>
      <c r="D69" s="444">
        <v>0</v>
      </c>
      <c r="E69" s="445"/>
      <c r="F69" s="445"/>
      <c r="G69" s="445"/>
      <c r="H69" s="446"/>
      <c r="I69" s="12" t="str">
        <f>IF(D69&lt;&gt;"", template_label_ok, "")</f>
        <v>OK</v>
      </c>
    </row>
    <row r="70" spans="1:10" ht="30.75" thickBot="1" x14ac:dyDescent="0.3">
      <c r="A70" s="317">
        <v>60</v>
      </c>
      <c r="B70" s="326" t="s">
        <v>171</v>
      </c>
      <c r="C70" s="125" t="str">
        <f>template_label_total_temporary_workers_provided_by_undertakings_primarily_engaged_in_employment_activities</f>
        <v>Total temporary workers provided by undertakings primarily engaged in employment activities</v>
      </c>
      <c r="D70" s="447">
        <v>0</v>
      </c>
      <c r="E70" s="448"/>
      <c r="F70" s="448"/>
      <c r="G70" s="448"/>
      <c r="H70" s="449"/>
      <c r="I70" s="12" t="str">
        <f>IF(D70&lt;&gt;"", template_label_ok, "")</f>
        <v>OK</v>
      </c>
    </row>
    <row r="71" spans="1:10" ht="15.75" thickBot="1" x14ac:dyDescent="0.3"/>
    <row r="72" spans="1:10" x14ac:dyDescent="0.25">
      <c r="C72" s="450" t="str">
        <f>template_label_c6_additional_own_workforce_information_human_rights_policies_and_processes&amp;" "&amp;template_label_from&amp;" "&amp;template_starting_date_display&amp;" "&amp;template_label_to&amp;" "&amp;template_ending_date_display&amp;" "&amp;template_label_always_to_be_reported</f>
        <v>C6 – Additional own workforce information - Human rights policies and processes from 2025-01-01 to 2025-12-31 [Always to be reported]</v>
      </c>
      <c r="D72" s="451"/>
      <c r="E72" s="451"/>
      <c r="F72" s="451"/>
      <c r="G72" s="451"/>
      <c r="H72" s="452"/>
    </row>
    <row r="73" spans="1:10" ht="30" x14ac:dyDescent="0.25">
      <c r="A73" s="317" t="s">
        <v>172</v>
      </c>
      <c r="B73" s="325">
        <v>173</v>
      </c>
      <c r="C73" s="126" t="str">
        <f>template_label_does_the_undertaking_have_a_code_of_conduct_or_human_rights_policy_for_its_own_workforce</f>
        <v>Does the undertaking have a code of conduct or human rights policy for its own workforce?</v>
      </c>
      <c r="D73" s="453" t="s">
        <v>127</v>
      </c>
      <c r="E73" s="454"/>
      <c r="F73" s="454"/>
      <c r="G73" s="454"/>
      <c r="H73" s="455"/>
      <c r="I73" s="12" t="str">
        <f>IF(
    AND('General Information'!$E$32="Option B (Basic Module and Comprehensive Module)", D73&lt;&gt;""),
    template_label_ok,
    IF(
        AND('General Information'!$E$32="Option B (Basic Module and Comprehensive Module)", D73=""),
        template_label_missing_value,
        IF(
            AND('General Information'!$E$32="Option A (Basic Module only)", D73&lt;&gt;""),
            template_label_ok,
            ""
        )
    )
)</f>
        <v>OK</v>
      </c>
    </row>
    <row r="74" spans="1:10" x14ac:dyDescent="0.25">
      <c r="A74" s="318" t="s">
        <v>173</v>
      </c>
      <c r="B74" s="325">
        <v>173</v>
      </c>
      <c r="C74" s="92" t="str">
        <f>template_label_if_yes_does_this_cover</f>
        <v>If yes does this cover:</v>
      </c>
      <c r="D74" s="456"/>
      <c r="E74" s="457"/>
      <c r="F74" s="457"/>
      <c r="G74" s="457"/>
      <c r="H74" s="458"/>
    </row>
    <row r="75" spans="1:10" x14ac:dyDescent="0.25">
      <c r="A75" s="318" t="s">
        <v>173</v>
      </c>
      <c r="B75" s="325">
        <v>173</v>
      </c>
      <c r="C75" s="127" t="str">
        <f>template_label_child_labour</f>
        <v>· child labour</v>
      </c>
      <c r="D75" s="459" t="b">
        <v>1</v>
      </c>
      <c r="E75" s="459"/>
      <c r="F75" s="459"/>
      <c r="G75" s="459"/>
      <c r="H75" s="460"/>
      <c r="I75" s="434" t="str">
        <f>IF(
    AND(OR(D75=TRUE,D76=TRUE,D77=TRUE,D78=TRUE,D79=TRUE,D80=TRUE), D73="YES"),
    template_label_ok,
    IF(
        AND(D75=FALSE,D76=FALSE,D77=FALSE,D78=FALSE,D79=FALSE,D80=FALSE, D73="YES"),
        template_label_missing_value,
        IF(
            AND(D75=FALSE,D76=FALSE,D77=FALSE,D78=FALSE,D79=FALSE,D80=FALSE, D73="NO"),
            "",
            IF(
                AND(D75=FALSE,D76=FALSE,D77=FALSE,D78=FALSE,D79=FALSE,D80=FALSE, D73=""),
                "",
                IF(
                    AND(OR(D75=TRUE,D76=TRUE,D77=TRUE,D78=TRUE,D79=TRUE,D80=TRUE), D73=""),
                    "",
                    template_label_value_inconsistency
                )
            )
        )
    )
)</f>
        <v>OK</v>
      </c>
    </row>
    <row r="76" spans="1:10" x14ac:dyDescent="0.25">
      <c r="A76" s="318" t="s">
        <v>173</v>
      </c>
      <c r="B76" s="325">
        <v>173</v>
      </c>
      <c r="C76" s="127" t="str">
        <f>template_label_forced_labour</f>
        <v>· forced labour</v>
      </c>
      <c r="D76" s="459" t="b">
        <v>1</v>
      </c>
      <c r="E76" s="459"/>
      <c r="F76" s="459"/>
      <c r="G76" s="459"/>
      <c r="H76" s="460"/>
      <c r="I76" s="434"/>
    </row>
    <row r="77" spans="1:10" x14ac:dyDescent="0.25">
      <c r="A77" s="318" t="s">
        <v>173</v>
      </c>
      <c r="B77" s="325">
        <v>173</v>
      </c>
      <c r="C77" s="127" t="str">
        <f>template_label_human_trafficking</f>
        <v>· human trafficking</v>
      </c>
      <c r="D77" s="459" t="b">
        <v>1</v>
      </c>
      <c r="E77" s="459"/>
      <c r="F77" s="459"/>
      <c r="G77" s="459"/>
      <c r="H77" s="460"/>
      <c r="I77" s="434"/>
    </row>
    <row r="78" spans="1:10" x14ac:dyDescent="0.25">
      <c r="A78" s="318" t="s">
        <v>173</v>
      </c>
      <c r="B78" s="325">
        <v>173</v>
      </c>
      <c r="C78" s="127" t="str">
        <f>template_label_discrimination</f>
        <v>· discrimination</v>
      </c>
      <c r="D78" s="459" t="b">
        <v>1</v>
      </c>
      <c r="E78" s="459"/>
      <c r="F78" s="459"/>
      <c r="G78" s="459"/>
      <c r="H78" s="460"/>
      <c r="I78" s="434"/>
    </row>
    <row r="79" spans="1:10" x14ac:dyDescent="0.25">
      <c r="A79" s="318" t="s">
        <v>173</v>
      </c>
      <c r="B79" s="325">
        <v>173</v>
      </c>
      <c r="C79" s="128" t="str">
        <f>template_label_accident_prevention</f>
        <v>· accident prevention</v>
      </c>
      <c r="D79" s="488" t="b">
        <v>1</v>
      </c>
      <c r="E79" s="459"/>
      <c r="F79" s="459"/>
      <c r="G79" s="459"/>
      <c r="H79" s="460"/>
      <c r="I79" s="434"/>
    </row>
    <row r="80" spans="1:10" x14ac:dyDescent="0.25">
      <c r="A80" s="318" t="s">
        <v>173</v>
      </c>
      <c r="B80" s="325">
        <v>173</v>
      </c>
      <c r="C80" s="129" t="str">
        <f>template_label_other_if_yes_specify</f>
        <v>· other? ( if yes specify)</v>
      </c>
      <c r="D80" s="459" t="b">
        <v>1</v>
      </c>
      <c r="E80" s="459"/>
      <c r="F80" s="459"/>
      <c r="G80" s="459"/>
      <c r="H80" s="460"/>
      <c r="I80" s="434"/>
      <c r="J80" s="7" t="str">
        <f>template_label_other_warning</f>
        <v>ℹ️ When "other" is chosen as undertaking legal form please fill the row below</v>
      </c>
    </row>
    <row r="81" spans="1:10" ht="33.6" customHeight="1" x14ac:dyDescent="0.25">
      <c r="A81" s="318" t="s">
        <v>173</v>
      </c>
      <c r="B81" s="325">
        <v>173</v>
      </c>
      <c r="C81" s="64" t="str">
        <f>template_label_specify_other_types_of_content_covered_by_the_code_of_conduct_or_human_rights_policy</f>
        <v>Specify other types of content covered by the code of conduct or human rights policy</v>
      </c>
      <c r="D81" s="479" t="s">
        <v>174</v>
      </c>
      <c r="E81" s="479"/>
      <c r="F81" s="479"/>
      <c r="G81" s="479"/>
      <c r="H81" s="480"/>
      <c r="I81" s="12" t="str">
        <f>IF(AND(D80=TRUE,D81&lt;&gt;""), template_label_ok,
IF(AND(D80=TRUE,D81=""), template_label_missing_value,
IF(AND(D80=FALSE,D81&lt;&gt;""), template_label_missing_value,
"")))</f>
        <v>OK</v>
      </c>
    </row>
    <row r="82" spans="1:10" ht="31.35" customHeight="1" thickBot="1" x14ac:dyDescent="0.3">
      <c r="A82" s="320" t="s">
        <v>175</v>
      </c>
      <c r="B82" s="326">
        <v>173</v>
      </c>
      <c r="C82" s="130" t="str">
        <f>template_label_does_the_undertaking_have_a_complaint_handling_mechanism_for_its_own_workforce</f>
        <v>Does the undertaking have a complaint-handling mechanism for its own workforce?</v>
      </c>
      <c r="D82" s="481" t="s">
        <v>127</v>
      </c>
      <c r="E82" s="482"/>
      <c r="F82" s="482"/>
      <c r="G82" s="482"/>
      <c r="H82" s="483"/>
      <c r="I82" s="12" t="str">
        <f>IF(AND('General Information'!$E$32="Option B (Basic Module and Comprehensive Module)",D82&lt;&gt;""), template_label_ok,
IF(AND('General Information'!$E$32="Option B (Basic Module and Comprehensive Module)",D82=""), template_label_missing_value,
IF(AND('General Information'!$E$32="Option A (Basic Module only)",D82&lt;&gt;""), template_label_ok,
"")))</f>
        <v>OK</v>
      </c>
    </row>
    <row r="83" spans="1:10" ht="15.75" thickBot="1" x14ac:dyDescent="0.3"/>
    <row r="84" spans="1:10" x14ac:dyDescent="0.25">
      <c r="C84" s="450" t="str">
        <f>template_label_c7_severe_negative_human_rights_incidents&amp;" "&amp;template_label_from&amp;" "&amp;template_starting_date_display&amp;" "&amp;template_label_to&amp;" "&amp;template_ending_date_display&amp;" "&amp;template_label_always_to_be_reported</f>
        <v>C7 – Severe negative human rights incidents from 2025-01-01 to 2025-12-31 [Always to be reported]</v>
      </c>
      <c r="D84" s="451"/>
      <c r="E84" s="451"/>
      <c r="F84" s="451"/>
      <c r="G84" s="451"/>
      <c r="H84" s="452"/>
    </row>
    <row r="85" spans="1:10" x14ac:dyDescent="0.25">
      <c r="A85" s="317">
        <v>62</v>
      </c>
      <c r="B85" s="325">
        <v>174</v>
      </c>
      <c r="C85" s="131" t="str">
        <f>template_label_does_the_undertaking_have_confirmed_incidents_in_its_own_workforce</f>
        <v>Does the undertaking have confirmed incidents in its own workforce?</v>
      </c>
      <c r="D85" s="484" t="s">
        <v>176</v>
      </c>
      <c r="E85" s="484"/>
      <c r="F85" s="484"/>
      <c r="G85" s="484"/>
      <c r="H85" s="485"/>
      <c r="I85" s="12" t="str">
        <f>IF(AND('General Information'!$E$32="Option B (Basic Module and Comprehensive Module)",D85&lt;&gt;""), template_label_ok,
IF(AND('General Information'!$E$32="Option B (Basic Module and Comprehensive Module)",D85=""), template_label_missing_value,
IF(AND('General Information'!$E$32="Option A (Basic Module only)",D85&lt;&gt;""), template_label_ok,
"")))</f>
        <v>OK</v>
      </c>
    </row>
    <row r="86" spans="1:10" x14ac:dyDescent="0.25">
      <c r="A86" s="317" t="s">
        <v>177</v>
      </c>
      <c r="B86" s="325">
        <v>174</v>
      </c>
      <c r="C86" s="131" t="str">
        <f>template_label_if_yes_are_incidents_related_to</f>
        <v>If yes are incidents related to:</v>
      </c>
      <c r="D86" s="456"/>
      <c r="E86" s="457"/>
      <c r="F86" s="457"/>
      <c r="G86" s="457"/>
      <c r="H86" s="458"/>
    </row>
    <row r="87" spans="1:10" x14ac:dyDescent="0.25">
      <c r="A87" s="317" t="s">
        <v>177</v>
      </c>
      <c r="B87" s="325">
        <v>174</v>
      </c>
      <c r="C87" s="129" t="str">
        <f>template_label_child_labour</f>
        <v>· child labour</v>
      </c>
      <c r="D87" s="486" t="b">
        <v>0</v>
      </c>
      <c r="E87" s="486"/>
      <c r="F87" s="486"/>
      <c r="G87" s="486"/>
      <c r="H87" s="487"/>
      <c r="I87" s="434" t="str" cm="1">
        <f t="array" ref="I87">IF(AND(OR(D87=TRUE,D88=TRUE,D89=TRUE,D90=TRUE,D91=TRUE),D85="YES"), template_label_ok,
IF(AND(D87=FALSE,D88=FALSE,D89=FALSE,D90=FALSE,D91=FALSE,D85="YES"), template_label_missing_value,
IF(AND(D87=FALSE,D88=FALSE,D89=FALSE,D90=FALSE,D91=FALSE,D85=""), "",
IF(AND(D87=FALSE,D88=FALSE,D89=FALSE,D90=FALSE,D91=FALSE,D85="NO"), "",
IF(AND(OR(D87:D91=TRUE),D85=""), "",
template_label_value_inconsistency)))))</f>
        <v/>
      </c>
    </row>
    <row r="88" spans="1:10" x14ac:dyDescent="0.25">
      <c r="A88" s="317" t="s">
        <v>177</v>
      </c>
      <c r="B88" s="325">
        <v>174</v>
      </c>
      <c r="C88" s="129" t="str">
        <f>template_label_forced_labour</f>
        <v>· forced labour</v>
      </c>
      <c r="D88" s="486" t="b">
        <v>0</v>
      </c>
      <c r="E88" s="486"/>
      <c r="F88" s="486"/>
      <c r="G88" s="486"/>
      <c r="H88" s="487"/>
      <c r="I88" s="434"/>
    </row>
    <row r="89" spans="1:10" x14ac:dyDescent="0.25">
      <c r="A89" s="317" t="s">
        <v>177</v>
      </c>
      <c r="B89" s="325">
        <v>174</v>
      </c>
      <c r="C89" s="129" t="str">
        <f>template_label_human_trafficking</f>
        <v>· human trafficking</v>
      </c>
      <c r="D89" s="486" t="b">
        <v>0</v>
      </c>
      <c r="E89" s="486"/>
      <c r="F89" s="486"/>
      <c r="G89" s="486"/>
      <c r="H89" s="487"/>
      <c r="I89" s="434"/>
    </row>
    <row r="90" spans="1:10" x14ac:dyDescent="0.25">
      <c r="A90" s="317" t="s">
        <v>177</v>
      </c>
      <c r="B90" s="325">
        <v>174</v>
      </c>
      <c r="C90" s="129" t="str">
        <f>template_label_discrimination</f>
        <v>· discrimination</v>
      </c>
      <c r="D90" s="486" t="b">
        <v>0</v>
      </c>
      <c r="E90" s="486"/>
      <c r="F90" s="486"/>
      <c r="G90" s="486"/>
      <c r="H90" s="487"/>
      <c r="I90" s="434"/>
    </row>
    <row r="91" spans="1:10" x14ac:dyDescent="0.25">
      <c r="A91" s="317" t="s">
        <v>177</v>
      </c>
      <c r="B91" s="325">
        <v>174</v>
      </c>
      <c r="C91" s="129" t="str">
        <f>template_label_other_if_yes_specify</f>
        <v>· other? ( if yes specify)</v>
      </c>
      <c r="D91" s="486" t="b">
        <v>0</v>
      </c>
      <c r="E91" s="486"/>
      <c r="F91" s="486"/>
      <c r="G91" s="486"/>
      <c r="H91" s="487"/>
      <c r="I91" s="434"/>
      <c r="J91" s="7" t="str">
        <f>template_label_other_warning</f>
        <v>ℹ️ When "other" is chosen as undertaking legal form please fill the row below</v>
      </c>
    </row>
    <row r="92" spans="1:10" x14ac:dyDescent="0.25">
      <c r="A92" s="317" t="s">
        <v>177</v>
      </c>
      <c r="B92" s="325">
        <v>174</v>
      </c>
      <c r="C92" s="64" t="str">
        <f>template_label_specify_other_human_rights_related_to_the_confirmed_incidents</f>
        <v>Specify other human rights related to the confirmed incidents</v>
      </c>
      <c r="D92" s="503"/>
      <c r="E92" s="503"/>
      <c r="F92" s="503"/>
      <c r="G92" s="503"/>
      <c r="H92" s="504"/>
      <c r="I92" s="12" t="str">
        <f>IF(AND(D91=TRUE,D92&lt;&gt;""), template_label_ok,
IF(AND(D91=TRUE,D92=""), template_label_missing_value,
IF(AND(D91=FALSE,D92&lt;&gt;""), template_label_missing_value, "")))</f>
        <v/>
      </c>
    </row>
    <row r="93" spans="1:10" x14ac:dyDescent="0.25">
      <c r="A93" s="317" t="s">
        <v>178</v>
      </c>
      <c r="B93" s="325">
        <v>174</v>
      </c>
      <c r="C93" s="64" t="str">
        <f>template_label_description_of_actions_taken_to_address_the_confirmed_incidents</f>
        <v>Description of actions taken to address the confirmed incidents</v>
      </c>
      <c r="D93" s="489"/>
      <c r="E93" s="490"/>
      <c r="F93" s="490"/>
      <c r="G93" s="490"/>
      <c r="H93" s="491"/>
      <c r="I93" s="12" t="str">
        <f>IF(D93&lt;&gt;"",template_label_ok,"")</f>
        <v/>
      </c>
    </row>
    <row r="94" spans="1:10" ht="30" x14ac:dyDescent="0.25">
      <c r="A94" s="317" t="s">
        <v>179</v>
      </c>
      <c r="B94" s="325">
        <v>174</v>
      </c>
      <c r="C94" s="92" t="str">
        <f>template_label_is_the_undertaking_aware_of_any_confirmed_incidents_involving_workers</f>
        <v>Is the undertaking aware of any confirmed incidents involving workers in the value chain affected communities consumers and end-users?</v>
      </c>
      <c r="D94" s="484" t="s">
        <v>176</v>
      </c>
      <c r="E94" s="484"/>
      <c r="F94" s="484"/>
      <c r="G94" s="484"/>
      <c r="H94" s="485"/>
      <c r="I94" s="12" t="str">
        <f>IF(AND('General Information'!$E$32="Option B (Basic Module and Comprehensive Module)",D94&lt;&gt;""), template_label_ok,
IF(AND('General Information'!$E$32="Option B (Basic Module and Comprehensive Module)",D94=""), template_label_missing_value,
IF(AND('General Information'!$E$32="Option A (Basic Module only)",D94&lt;&gt;""), template_label_ok, "")))</f>
        <v>OK</v>
      </c>
    </row>
    <row r="95" spans="1:10" ht="30.75" thickBot="1" x14ac:dyDescent="0.3">
      <c r="A95" s="317" t="s">
        <v>179</v>
      </c>
      <c r="B95" s="326">
        <v>174</v>
      </c>
      <c r="C95" s="172" t="str">
        <f>template_label_specification_of_any_confirmed_incident_involving_workers</f>
        <v>Specification of any confirmed incident involving workers in the value chain affected communities consumers and end-users</v>
      </c>
      <c r="D95" s="492"/>
      <c r="E95" s="492"/>
      <c r="F95" s="492"/>
      <c r="G95" s="492"/>
      <c r="H95" s="493"/>
      <c r="I95" s="12" t="str">
        <f>IF(AND(D94="YES",D95&lt;&gt;""), template_label_ok,
IF(AND(D94="YES",D95=""), template_label_missing_value,
IF(AND(D94="NO",D95&lt;&gt;""), template_label_missing_value, "")))</f>
        <v/>
      </c>
    </row>
    <row r="98" spans="3:9" ht="15.75" thickBot="1" x14ac:dyDescent="0.3"/>
    <row r="99" spans="3:9" x14ac:dyDescent="0.25">
      <c r="C99" s="494" t="str">
        <f>template_label_disclosure_of_any_other_social_and_or_entity_specific_social_disclosures&amp;" "&amp;template_label_from&amp;" "&amp;template_starting_date_display&amp;" "&amp;template_label_to&amp;" "&amp;template_ending_date_display&amp;" " &amp; template_label_may</f>
        <v>Disclosure of any other social and or entity specific social disclosures from 2025-01-01 to 2025-12-31 [May (optional)]</v>
      </c>
      <c r="D99" s="495"/>
      <c r="E99" s="495"/>
      <c r="F99" s="495"/>
      <c r="G99" s="495"/>
      <c r="H99" s="496"/>
    </row>
    <row r="100" spans="3:9" x14ac:dyDescent="0.25">
      <c r="C100" s="497">
        <v>10</v>
      </c>
      <c r="D100" s="498"/>
      <c r="E100" s="498"/>
      <c r="F100" s="498"/>
      <c r="G100" s="498"/>
      <c r="H100" s="499"/>
    </row>
    <row r="101" spans="3:9" ht="15.75" thickBot="1" x14ac:dyDescent="0.3">
      <c r="C101" s="500"/>
      <c r="D101" s="501"/>
      <c r="E101" s="501"/>
      <c r="F101" s="501"/>
      <c r="G101" s="501"/>
      <c r="H101" s="502"/>
      <c r="I101" s="12" t="str">
        <f>IF(C101&lt;&gt;"", template_label_ok, "")</f>
        <v/>
      </c>
    </row>
  </sheetData>
  <sheetProtection sheet="1" objects="1" scenarios="1" selectLockedCells="1" selectUnlockedCells="1"/>
  <mergeCells count="103">
    <mergeCell ref="D93:H93"/>
    <mergeCell ref="D94:H94"/>
    <mergeCell ref="D95:H95"/>
    <mergeCell ref="C99:H99"/>
    <mergeCell ref="C100:H100"/>
    <mergeCell ref="C101:H101"/>
    <mergeCell ref="I87:I91"/>
    <mergeCell ref="D88:H88"/>
    <mergeCell ref="D89:H89"/>
    <mergeCell ref="D90:H90"/>
    <mergeCell ref="D91:H91"/>
    <mergeCell ref="D92:H92"/>
    <mergeCell ref="D81:H81"/>
    <mergeCell ref="D82:H82"/>
    <mergeCell ref="C84:H84"/>
    <mergeCell ref="D85:H85"/>
    <mergeCell ref="D86:H86"/>
    <mergeCell ref="D87:H87"/>
    <mergeCell ref="I75:I80"/>
    <mergeCell ref="D76:H76"/>
    <mergeCell ref="D77:H77"/>
    <mergeCell ref="D78:H78"/>
    <mergeCell ref="D79:H79"/>
    <mergeCell ref="D80:H80"/>
    <mergeCell ref="D69:H69"/>
    <mergeCell ref="D70:H70"/>
    <mergeCell ref="C72:H72"/>
    <mergeCell ref="D73:H73"/>
    <mergeCell ref="D74:H74"/>
    <mergeCell ref="D75:H75"/>
    <mergeCell ref="C62:H62"/>
    <mergeCell ref="C63:H63"/>
    <mergeCell ref="C65:H65"/>
    <mergeCell ref="D66:H66"/>
    <mergeCell ref="D67:H67"/>
    <mergeCell ref="D68:H68"/>
    <mergeCell ref="D57:H57"/>
    <mergeCell ref="D58:H58"/>
    <mergeCell ref="I58:I61"/>
    <mergeCell ref="D59:H59"/>
    <mergeCell ref="D60:H60"/>
    <mergeCell ref="D61:H61"/>
    <mergeCell ref="A52:A53"/>
    <mergeCell ref="B52:B53"/>
    <mergeCell ref="D52:H52"/>
    <mergeCell ref="D53:H53"/>
    <mergeCell ref="C55:H55"/>
    <mergeCell ref="C56:H56"/>
    <mergeCell ref="C50:H50"/>
    <mergeCell ref="D51:H51"/>
    <mergeCell ref="C43:H43"/>
    <mergeCell ref="D44:H44"/>
    <mergeCell ref="D45:H45"/>
    <mergeCell ref="D46:H46"/>
    <mergeCell ref="D47:H47"/>
    <mergeCell ref="C37:H37"/>
    <mergeCell ref="D38:H38"/>
    <mergeCell ref="D39:H39"/>
    <mergeCell ref="D40:H40"/>
    <mergeCell ref="D41:H41"/>
    <mergeCell ref="C35:H35"/>
    <mergeCell ref="C36:H36"/>
    <mergeCell ref="C32:D32"/>
    <mergeCell ref="E32:H32"/>
    <mergeCell ref="C30:D30"/>
    <mergeCell ref="E30:H30"/>
    <mergeCell ref="C31:D31"/>
    <mergeCell ref="E31:H31"/>
    <mergeCell ref="D48:H48"/>
    <mergeCell ref="C24:H24"/>
    <mergeCell ref="C25:H25"/>
    <mergeCell ref="C26:H26"/>
    <mergeCell ref="C28:D28"/>
    <mergeCell ref="E28:H28"/>
    <mergeCell ref="C27:D27"/>
    <mergeCell ref="E27:H27"/>
    <mergeCell ref="I18:M21"/>
    <mergeCell ref="C33:D33"/>
    <mergeCell ref="E33:H33"/>
    <mergeCell ref="J29:V30"/>
    <mergeCell ref="C2:E2"/>
    <mergeCell ref="F2:H2"/>
    <mergeCell ref="C3:E3"/>
    <mergeCell ref="F3:H3"/>
    <mergeCell ref="C6:G6"/>
    <mergeCell ref="C7:G7"/>
    <mergeCell ref="C15:G15"/>
    <mergeCell ref="C16:G16"/>
    <mergeCell ref="D17:G17"/>
    <mergeCell ref="D18:G18"/>
    <mergeCell ref="H18:H21"/>
    <mergeCell ref="D19:G19"/>
    <mergeCell ref="D20:G20"/>
    <mergeCell ref="D21:G21"/>
    <mergeCell ref="C8:G8"/>
    <mergeCell ref="D9:G9"/>
    <mergeCell ref="D10:G10"/>
    <mergeCell ref="D11:G11"/>
    <mergeCell ref="D12:G12"/>
    <mergeCell ref="C14:G14"/>
    <mergeCell ref="C29:D29"/>
    <mergeCell ref="E29:H29"/>
    <mergeCell ref="D22:G22"/>
  </mergeCells>
  <phoneticPr fontId="3" type="noConversion"/>
  <conditionalFormatting sqref="D81">
    <cfRule type="expression" dxfId="82" priority="31">
      <formula>$D$80=TRUE</formula>
    </cfRule>
  </conditionalFormatting>
  <conditionalFormatting sqref="D92:D93">
    <cfRule type="expression" dxfId="81" priority="20">
      <formula>$D$91=TRUE</formula>
    </cfRule>
  </conditionalFormatting>
  <conditionalFormatting sqref="D95">
    <cfRule type="expression" dxfId="80" priority="19">
      <formula>$D$94="YES"</formula>
    </cfRule>
  </conditionalFormatting>
  <conditionalFormatting sqref="D75:H80">
    <cfRule type="expression" dxfId="77" priority="36">
      <formula>$D$73="YES"</formula>
    </cfRule>
  </conditionalFormatting>
  <conditionalFormatting sqref="D87:H91">
    <cfRule type="expression" dxfId="76" priority="25">
      <formula>$D$85="YES"</formula>
    </cfRule>
  </conditionalFormatting>
  <conditionalFormatting sqref="D93:H93">
    <cfRule type="expression" dxfId="74" priority="12">
      <formula>$D$85="YES"</formula>
    </cfRule>
  </conditionalFormatting>
  <conditionalFormatting sqref="E27">
    <cfRule type="expression" dxfId="73" priority="5">
      <formula>$D$73="YES"</formula>
    </cfRule>
  </conditionalFormatting>
  <conditionalFormatting sqref="E29:H29">
    <cfRule type="expression" dxfId="71" priority="4">
      <formula>$E$27=TRUE</formula>
    </cfRule>
  </conditionalFormatting>
  <conditionalFormatting sqref="E29:H32">
    <cfRule type="expression" dxfId="70" priority="62">
      <formula>$C29&lt;&gt;""</formula>
    </cfRule>
  </conditionalFormatting>
  <conditionalFormatting sqref="E30:H32">
    <cfRule type="expression" dxfId="69" priority="63">
      <formula>$D30=""</formula>
    </cfRule>
  </conditionalFormatting>
  <conditionalFormatting sqref="H10:H11">
    <cfRule type="expression" dxfId="68" priority="73">
      <formula>$H10=template_label_missing_value</formula>
    </cfRule>
    <cfRule type="expression" dxfId="67" priority="74">
      <formula>$H10=template_label_ok</formula>
    </cfRule>
  </conditionalFormatting>
  <conditionalFormatting sqref="H12">
    <cfRule type="expression" dxfId="66" priority="76">
      <formula>$H$12="VALUE INCONSISTENCY"</formula>
    </cfRule>
    <cfRule type="expression" dxfId="65" priority="75">
      <formula>$H$12="OK"</formula>
    </cfRule>
  </conditionalFormatting>
  <conditionalFormatting sqref="H18:H21">
    <cfRule type="expression" dxfId="64" priority="69">
      <formula>$H$18=template_label_ok</formula>
    </cfRule>
    <cfRule type="expression" dxfId="63" priority="68">
      <formula>$H$18=template_label_missing_value</formula>
    </cfRule>
  </conditionalFormatting>
  <conditionalFormatting sqref="H22">
    <cfRule type="expression" dxfId="62" priority="71">
      <formula>$H$22="MISSING VALUE"</formula>
    </cfRule>
    <cfRule type="expression" dxfId="61" priority="70">
      <formula>$H$22="VALUE INCONSISTENCY"</formula>
    </cfRule>
    <cfRule type="expression" dxfId="60" priority="72">
      <formula>$H$22="OK"</formula>
    </cfRule>
  </conditionalFormatting>
  <conditionalFormatting sqref="I29:I32">
    <cfRule type="expression" dxfId="59" priority="2">
      <formula>$I29=template_label_ok</formula>
    </cfRule>
    <cfRule type="expression" dxfId="58" priority="3">
      <formula>$I29=template_label_missing_value</formula>
    </cfRule>
    <cfRule type="expression" dxfId="57" priority="1">
      <formula>$I29=template_label_value_inconsistency</formula>
    </cfRule>
  </conditionalFormatting>
  <conditionalFormatting sqref="I33">
    <cfRule type="expression" dxfId="56" priority="65">
      <formula>$I$33="VALUE INCONSISTENCY"</formula>
    </cfRule>
    <cfRule type="expression" dxfId="55" priority="64">
      <formula>$I$33="OK"</formula>
    </cfRule>
  </conditionalFormatting>
  <conditionalFormatting sqref="I38:I40">
    <cfRule type="expression" dxfId="54" priority="61">
      <formula>$I38=template_label_ok</formula>
    </cfRule>
    <cfRule type="expression" dxfId="53" priority="60">
      <formula>$I38=template_label_missing_value</formula>
    </cfRule>
  </conditionalFormatting>
  <conditionalFormatting sqref="I44:I45">
    <cfRule type="expression" dxfId="52" priority="57">
      <formula>$I44=template_label_missing_value</formula>
    </cfRule>
    <cfRule type="expression" dxfId="51" priority="58">
      <formula>$I44=template_label_ok</formula>
    </cfRule>
  </conditionalFormatting>
  <conditionalFormatting sqref="I46">
    <cfRule type="expression" dxfId="50" priority="54">
      <formula>$I$46="MISSING VALUE"</formula>
    </cfRule>
    <cfRule type="expression" dxfId="49" priority="53">
      <formula>$I$46="OK"</formula>
    </cfRule>
  </conditionalFormatting>
  <conditionalFormatting sqref="I48">
    <cfRule type="expression" dxfId="48" priority="55">
      <formula>$I$48=template_label_missing_value</formula>
    </cfRule>
    <cfRule type="expression" dxfId="47" priority="56">
      <formula>$I$48=template_label_ok</formula>
    </cfRule>
  </conditionalFormatting>
  <conditionalFormatting sqref="I51">
    <cfRule type="expression" dxfId="46" priority="48">
      <formula>$I$51=template_label_ok</formula>
    </cfRule>
    <cfRule type="expression" dxfId="45" priority="47">
      <formula>$I$51=template_label_missing_value</formula>
    </cfRule>
  </conditionalFormatting>
  <conditionalFormatting sqref="I52">
    <cfRule type="expression" dxfId="44" priority="49">
      <formula>$I$52=template_label_ok</formula>
    </cfRule>
    <cfRule type="expression" dxfId="43" priority="50">
      <formula>$I$52=template_label_missing_value</formula>
    </cfRule>
  </conditionalFormatting>
  <conditionalFormatting sqref="I57:I58 I62">
    <cfRule type="expression" dxfId="42" priority="44">
      <formula>$I57=template_label_ok</formula>
    </cfRule>
    <cfRule type="expression" dxfId="41" priority="45">
      <formula>$I57=template_label_missing_value</formula>
    </cfRule>
  </conditionalFormatting>
  <conditionalFormatting sqref="I66">
    <cfRule type="expression" dxfId="40" priority="43">
      <formula>$I$66=template_label_ok</formula>
    </cfRule>
  </conditionalFormatting>
  <conditionalFormatting sqref="I67">
    <cfRule type="expression" dxfId="39" priority="42">
      <formula>$I$67=template_label_ok</formula>
    </cfRule>
  </conditionalFormatting>
  <conditionalFormatting sqref="I69">
    <cfRule type="expression" dxfId="38" priority="41">
      <formula>$I$69=template_label_ok</formula>
    </cfRule>
  </conditionalFormatting>
  <conditionalFormatting sqref="I70">
    <cfRule type="expression" dxfId="37" priority="40">
      <formula>$I$70=template_label_ok</formula>
    </cfRule>
  </conditionalFormatting>
  <conditionalFormatting sqref="I73">
    <cfRule type="expression" dxfId="36" priority="33">
      <formula>$I$73=template_label_ok</formula>
    </cfRule>
    <cfRule type="expression" dxfId="35" priority="32">
      <formula>$I$73=template_label_missing_value</formula>
    </cfRule>
  </conditionalFormatting>
  <conditionalFormatting sqref="I75:I80">
    <cfRule type="expression" dxfId="34" priority="28">
      <formula>$I$75=template_label_ok</formula>
    </cfRule>
    <cfRule type="expression" dxfId="33" priority="27">
      <formula>$I$75=template_label_missing_value</formula>
    </cfRule>
    <cfRule type="expression" dxfId="32" priority="9">
      <formula>$I$75=template_label_value_inconsistency</formula>
    </cfRule>
  </conditionalFormatting>
  <conditionalFormatting sqref="I81">
    <cfRule type="expression" dxfId="31" priority="34">
      <formula>$I$81=template_label_ok</formula>
    </cfRule>
    <cfRule type="expression" dxfId="30" priority="35">
      <formula>$I$81=template_label_missing_value</formula>
    </cfRule>
  </conditionalFormatting>
  <conditionalFormatting sqref="I82">
    <cfRule type="expression" dxfId="29" priority="30">
      <formula>$I$82=template_label_ok</formula>
    </cfRule>
    <cfRule type="expression" dxfId="28" priority="29">
      <formula>$I$82=template_label_missing_value</formula>
    </cfRule>
  </conditionalFormatting>
  <conditionalFormatting sqref="I85">
    <cfRule type="expression" dxfId="27" priority="17">
      <formula>$I$85=template_label_ok</formula>
    </cfRule>
    <cfRule type="expression" dxfId="26" priority="18">
      <formula>$I$85=template_label_missing_value</formula>
    </cfRule>
  </conditionalFormatting>
  <conditionalFormatting sqref="I87:I91">
    <cfRule type="expression" dxfId="25" priority="16">
      <formula>$I$87=template_label_missing_value</formula>
    </cfRule>
    <cfRule type="expression" dxfId="24" priority="15">
      <formula>$I$87=template_label_ok</formula>
    </cfRule>
    <cfRule type="expression" dxfId="23" priority="8">
      <formula>$I$87=template_label_value_inconsistency</formula>
    </cfRule>
  </conditionalFormatting>
  <conditionalFormatting sqref="I92">
    <cfRule type="expression" dxfId="22" priority="24">
      <formula>$I$92=template_label_missing_value</formula>
    </cfRule>
    <cfRule type="expression" dxfId="21" priority="23">
      <formula>$I$92=template_label_ok</formula>
    </cfRule>
  </conditionalFormatting>
  <conditionalFormatting sqref="I93">
    <cfRule type="expression" dxfId="20" priority="11">
      <formula>$I$93=template_label_ok</formula>
    </cfRule>
  </conditionalFormatting>
  <conditionalFormatting sqref="I94">
    <cfRule type="expression" dxfId="19" priority="14">
      <formula>$I$94=template_label_ok</formula>
    </cfRule>
    <cfRule type="expression" dxfId="18" priority="13">
      <formula>$I$94=template_label_missing_value</formula>
    </cfRule>
  </conditionalFormatting>
  <conditionalFormatting sqref="I95">
    <cfRule type="expression" dxfId="17" priority="22">
      <formula>$I$95=template_label_ok</formula>
    </cfRule>
    <cfRule type="expression" dxfId="16" priority="21">
      <formula>$I$95=template_label_missing_value</formula>
    </cfRule>
  </conditionalFormatting>
  <conditionalFormatting sqref="I101">
    <cfRule type="expression" dxfId="15" priority="10">
      <formula>$I$101=template_label_ok</formula>
    </cfRule>
  </conditionalFormatting>
  <dataValidations count="15">
    <dataValidation type="custom" operator="lessThanOrEqual" allowBlank="1" showInputMessage="1" showErrorMessage="1" sqref="D10:G10" xr:uid="{35658C98-934E-415B-A434-B434D683088B}">
      <formula1>IF(D12="-", 0, D12) &gt;= D10</formula1>
    </dataValidation>
    <dataValidation type="custom" operator="equal" showInputMessage="1" showErrorMessage="1" sqref="D20:G20" xr:uid="{A3BF85D0-B645-44C7-9AAE-36905F433620}">
      <formula1>IF(D22="-", 0, D22)&gt;=D18+D19+D20+D21</formula1>
    </dataValidation>
    <dataValidation type="custom" operator="equal" showInputMessage="1" showErrorMessage="1" sqref="D19:G19" xr:uid="{3CAA3C5B-559A-4C0E-8917-0F00C2AD1CB3}">
      <formula1>IF(D22="-", 0, D22)&gt;=D18+D19+D20+D21</formula1>
    </dataValidation>
    <dataValidation type="custom" operator="equal" showInputMessage="1" showErrorMessage="1" sqref="D18:G18" xr:uid="{A31EB366-51D1-4BF8-95AC-80324D98867B}">
      <formula1>IF(D22="-", 0, D22)&gt;=D18+D19+D20+D21</formula1>
    </dataValidation>
    <dataValidation type="custom" operator="equal" showInputMessage="1" showErrorMessage="1" sqref="D21:G21" xr:uid="{29622C59-4C2C-42D1-9E9B-9098E92DCA5F}">
      <formula1>IF(D22="-", 0, D22)&gt;=D18+D19+D20+D21</formula1>
    </dataValidation>
    <dataValidation type="custom" showInputMessage="1" showErrorMessage="1" sqref="D41:H41" xr:uid="{8D613685-8D1E-43D4-AC71-87FA8AFC831D}">
      <formula1>IF(AND(D38&lt;&gt;"",D39&lt;&gt;"",D40&lt;&gt;""),(D38/((D39+D40)/2)),"-")</formula1>
    </dataValidation>
    <dataValidation allowBlank="1" showInputMessage="1" showErrorMessage="1" promptTitle="Employee turnover rate [%]" prompt="(number of employees who left during the reporting year / average number of employees during the reporting year) * 100" sqref="C41" xr:uid="{6ED70BED-86B1-422F-9E9B-9F7D61067DE6}"/>
    <dataValidation type="decimal" operator="equal" allowBlank="1" showInputMessage="1" showErrorMessage="1" sqref="D66:H67 D69:H70 D58:H61 D38:H39 D44:H48" xr:uid="{96DCFD83-4BF7-4FD7-8FD2-05151BCCE1A5}">
      <formula1>D38</formula1>
    </dataValidation>
    <dataValidation allowBlank="1" showInputMessage="1" showErrorMessage="1" promptTitle="Rate of work-related accidents" prompt="(number of recordable work-related accidents in the reporting year / total number of hours worked in a year by all employees) * 200000" sqref="C47" xr:uid="{90514CF9-CB78-474C-A511-81130F02799D}"/>
    <dataValidation allowBlank="1" showInputMessage="1" showErrorMessage="1" promptTitle="Rate of covered employees [%]" prompt="(number of employees covered by collective bargaining agreements / total number of employees) * 100" sqref="C53" xr:uid="{0F9FDC34-899C-46D5-9245-B8BD1E753023}"/>
    <dataValidation type="list" allowBlank="1" showInputMessage="1" showErrorMessage="1" sqref="D51:H51 D73:H73 D82:H82 D94:H94 D85:H85" xr:uid="{32EA9B96-1307-4142-ABAB-2409115C8A3B}">
      <formula1>enum_ListYesNo</formula1>
    </dataValidation>
    <dataValidation allowBlank="1" showInputMessage="1" showErrorMessage="1" promptTitle="Management female-to-male ratio" prompt="number of female employees at management level / number of male employees at management level" sqref="C68" xr:uid="{A2AA09AE-1878-4581-AA5D-3AF1168BB2AA}"/>
    <dataValidation type="custom" showInputMessage="1" showErrorMessage="1" sqref="D68:H68" xr:uid="{842AA799-C112-4EB7-9AD5-5A7FDB0661AC}">
      <formula1>IF(AND(D66&lt;&gt;"",D67&lt;&gt;""),$D$67/$D$66,"-")</formula1>
    </dataValidation>
    <dataValidation type="custom" showInputMessage="1" showErrorMessage="1" sqref="D75:H75 D79:H80 D87:H90 E27 I27" xr:uid="{75B12E3F-FC71-4F17-B75C-BB63238BEA20}">
      <formula1>OR(D27=TRUE,D27=FALSE)</formula1>
    </dataValidation>
    <dataValidation type="custom" showInputMessage="1" showErrorMessage="1" sqref="D76:H78 D91:H91" xr:uid="{280CCE74-41E2-4CF5-B0C7-E745BDD2E546}">
      <formula1>OR(D76=FALSE,D76=TRUE)</formula1>
    </dataValidation>
  </dataValidations>
  <hyperlinks>
    <hyperlink ref="C7" r:id="rId1" location="id-89" xr:uid="{715FCF17-2CDA-45C0-AD69-D374E2424764}"/>
    <hyperlink ref="C8" r:id="rId2" location="id-355" display="175-182" xr:uid="{E70410AE-E73F-4568-AF31-581E7B412326}"/>
    <hyperlink ref="C15" r:id="rId3" location="id-90" xr:uid="{D13E5315-32E5-47A5-8C59-56679AD414C5}"/>
    <hyperlink ref="C16" r:id="rId4" location="id-355" display="175-182" xr:uid="{31DF6FD3-0C4C-40A0-B0F3-952DBAB2C719}"/>
    <hyperlink ref="C26" r:id="rId5" location="id-355" display="175-182" xr:uid="{72A4734A-6FA5-4693-A1A4-0571AD5D6BFC}"/>
    <hyperlink ref="C25" r:id="rId6" location="id-91" display="https://xbrl.efrag.org/e-esrs/2024-12-17-efrag-vsme.xhtml - id-91" xr:uid="{E4FF1FD8-D0A9-4664-94B5-903B3C7DE34E}"/>
    <hyperlink ref="C36" r:id="rId7" location="id-92" display="https://xbrl.efrag.org/e-esrs/2024-12-17-efrag-vsme.xhtml - id-92" xr:uid="{E0BA9FB5-FB8C-4FEF-868E-6CF4D588E023}"/>
    <hyperlink ref="C37" r:id="rId8" location="id-363" display="https://xbrl.efrag.org/e-esrs/2024-12-17-efrag-vsme.xhtml - id-363" xr:uid="{50B0BE03-C08E-4851-AC9B-993066443FF0}"/>
    <hyperlink ref="A44" r:id="rId9" xr:uid="{F2DE8AE6-7F6A-4C11-8C35-BFD6848C265A}"/>
    <hyperlink ref="B44" r:id="rId10" xr:uid="{A80B1F84-0594-4287-A96E-9DCAA77A7036}"/>
    <hyperlink ref="A51" r:id="rId11" xr:uid="{A04769E2-92AB-4FA7-8BAA-94C789C5D2BC}"/>
    <hyperlink ref="A52" r:id="rId12" location="id-99" xr:uid="{8113121E-C750-4B02-9F44-43C4B57E348C}"/>
    <hyperlink ref="B51" r:id="rId13" xr:uid="{D1428CBA-D262-46DD-A656-23D4C88B3472}"/>
    <hyperlink ref="B52" r:id="rId14" location="id-386" display="202-205" xr:uid="{9AEDE24B-6E51-44E4-9816-FE8C0C8508A3}"/>
    <hyperlink ref="C56" r:id="rId15" location="id-100" xr:uid="{A4FCCF43-CF5C-4938-A588-DC9CBECE7EC2}"/>
    <hyperlink ref="A66" r:id="rId16" display="https://xbrl.efrag.org/eng/interactive/vsme/vsme-standard-annex-i/2025-07-30-ec-rec/59" xr:uid="{D6C382FC-BB6A-4070-83F7-5D8F1C237A22}"/>
    <hyperlink ref="A69" r:id="rId17" display="https://xbrl.efrag.org/eng/interactive/vsme/vsme-standard-annex-i/2025-07-30-ec-rec/60" xr:uid="{B621BBEE-281B-42F5-B2D2-56DD7AA5EEA0}"/>
    <hyperlink ref="B66" r:id="rId18" xr:uid="{F0350405-76E9-49D1-BCA5-1A0EFEA12C04}"/>
    <hyperlink ref="B69" r:id="rId19" xr:uid="{7E6AA21F-CB64-4BA3-B45A-0E902CCAE552}"/>
    <hyperlink ref="A73" r:id="rId20" xr:uid="{B9DD33F4-2ACF-4676-8833-08E77CB7D0CA}"/>
    <hyperlink ref="A74" r:id="rId21" xr:uid="{88C6CF49-313A-4434-8D2A-0AEA3359D7FC}"/>
    <hyperlink ref="A82" r:id="rId22" xr:uid="{752B393B-0928-4C69-AFB2-C68F07D89E0E}"/>
    <hyperlink ref="B73" r:id="rId23" display="https://xbrl.efrag.org/eng/interactive/vsme/vsme-guidance-annex-ii/2025-07-30-ec-rec/173" xr:uid="{5DC38D20-F9F3-45CD-A4F1-CCBAA158E822}"/>
    <hyperlink ref="A94" r:id="rId24" xr:uid="{9B3F1639-CEDF-4FD6-829F-0D9EE195C206}"/>
    <hyperlink ref="B85" r:id="rId25" display="https://xbrl.efrag.org/eng/interactive/vsme/vsme-guidance-annex-ii/2025-07-30-ec-rec/174" xr:uid="{E39563BA-8B8E-41CC-8A15-041A714F2283}"/>
    <hyperlink ref="A86" r:id="rId26" xr:uid="{4767E427-EBDB-4F68-ADD4-2E28DAE9623F}"/>
    <hyperlink ref="A85" r:id="rId27" display="https://xbrl.efrag.org/eng/interactive/vsme/vsme-standard-annex-i/2025-07-30-ec-rec/62" xr:uid="{EAFDF65A-AB84-4580-B43C-874BE882196C}"/>
    <hyperlink ref="A93" r:id="rId28" xr:uid="{C3F1A085-4C97-49E3-804F-2C1886C3712A}"/>
    <hyperlink ref="C100" r:id="rId29" location="id-30" display="https://xbrl.efrag.org/e-esrs/2024-12-17-efrag-vsme.xhtml - id-30" xr:uid="{1D37EE3E-D845-46B8-B826-670052F1EFFD}"/>
    <hyperlink ref="C7:G7" r:id="rId30" display="39(a)" xr:uid="{045591BB-7AC1-41F4-A12A-E4B96445A4B3}"/>
    <hyperlink ref="C15:G15" r:id="rId31" display="39(b)" xr:uid="{986DCC5F-5EA6-4790-891E-BF08D9242936}"/>
    <hyperlink ref="C25:H25" r:id="rId32" display="39(c)" xr:uid="{A10A1811-7417-4B9B-9FCD-934E622BE66F}"/>
    <hyperlink ref="C36:H36" r:id="rId33" display="https://xbrl.efrag.org/eng/interactive/vsme/vsme-standard-annex-i/2025-07-30-ec-rec/40" xr:uid="{622C6F62-9464-4894-9594-12DFC4557303}"/>
    <hyperlink ref="A48" r:id="rId34" xr:uid="{4BE08046-72E6-47D5-888C-BE3727409AE4}"/>
    <hyperlink ref="A52:A53" r:id="rId35" display="42(c)" xr:uid="{C36D9540-4B6D-48B0-B22B-34A4FFE44E35}"/>
    <hyperlink ref="C56:H56" r:id="rId36" display="42(d)" xr:uid="{985AC647-33FB-4A71-93C7-5C325CA24011}"/>
    <hyperlink ref="A70" r:id="rId37" display="https://xbrl.efrag.org/eng/interactive/vsme/vsme-standard-annex-i/2025-07-30-ec-rec/60" xr:uid="{37FFA10E-6558-4258-A996-A7A13B24BC45}"/>
    <hyperlink ref="A95" r:id="rId38" xr:uid="{AE0089D3-808C-4790-9566-1F08F8F69A4D}"/>
    <hyperlink ref="C100:H100" r:id="rId39" display="https://xbrl.efrag.org/eng/interactive/vsme/vsme-standard-annex-i/2025-07-30-ec-rec/10" xr:uid="{FE90F4B0-5C1A-422D-9546-1262BD637327}"/>
    <hyperlink ref="C8:G8" r:id="rId40" display="110-117" xr:uid="{3C1E3943-B9F8-4356-BB7D-2E5B4A68C465}"/>
    <hyperlink ref="C16:G16" r:id="rId41" display="110-117" xr:uid="{F6A906E9-B721-4F64-982A-95F1DD0FF27C}"/>
    <hyperlink ref="C26:H26" r:id="rId42" display="110-117" xr:uid="{F28AE070-7A73-477E-8DD0-D267A377C199}"/>
    <hyperlink ref="C37:H37" r:id="rId43" display="https://xbrl.efrag.org/eng/interactive/vsme/vsme-guidance-annex-ii/2025-07-30-ec-rec/118" xr:uid="{9B3C672C-2D5B-4AC8-9FDE-5863B03C6A02}"/>
    <hyperlink ref="B52:B53" r:id="rId44" display="137-140" xr:uid="{4184C8F5-A5CA-456F-BDD4-7E346D6CCC84}"/>
    <hyperlink ref="A45" r:id="rId45" xr:uid="{0025172A-8FCF-4FE5-B3C1-C88E6B3908A4}"/>
    <hyperlink ref="A46" r:id="rId46" xr:uid="{DEEA807F-A6D7-4856-BB88-4C45205AC4BA}"/>
    <hyperlink ref="A47" r:id="rId47" xr:uid="{4A217A22-46F6-4593-AD74-30E1B42C71F7}"/>
    <hyperlink ref="A67" r:id="rId48" display="https://xbrl.efrag.org/eng/interactive/vsme/vsme-standard-annex-i/2025-07-30-ec-rec/59" xr:uid="{B6352C9C-6ADA-4E23-90B8-5672D2623859}"/>
    <hyperlink ref="A68" r:id="rId49" display="https://xbrl.efrag.org/eng/interactive/vsme/vsme-standard-annex-i/2025-07-30-ec-rec/59" xr:uid="{2CE1D049-2FF7-4C14-8247-582CA2E7AADB}"/>
    <hyperlink ref="A75" r:id="rId50" xr:uid="{A01648FD-4531-4ADA-BC8A-D0BFD47BE31A}"/>
    <hyperlink ref="A76" r:id="rId51" xr:uid="{E695DDCD-8153-4195-B88B-FBF08412A5B0}"/>
    <hyperlink ref="A77" r:id="rId52" xr:uid="{C2A519AC-6FD2-4147-A05B-E0D9804C45D0}"/>
    <hyperlink ref="A78" r:id="rId53" xr:uid="{D269E440-5783-4049-8DA6-691D04D50C55}"/>
    <hyperlink ref="A79" r:id="rId54" xr:uid="{3636C888-0684-413B-B650-52AB80239273}"/>
    <hyperlink ref="A80" r:id="rId55" xr:uid="{9E82C054-8192-4AFE-8D00-45E9DBEDE98A}"/>
    <hyperlink ref="A81" r:id="rId56" xr:uid="{D2E67599-055A-4305-8D9E-CCC62B31E83C}"/>
    <hyperlink ref="A87" r:id="rId57" xr:uid="{42389616-D7DC-4967-8217-BA7DF3BF2677}"/>
    <hyperlink ref="A88" r:id="rId58" xr:uid="{FD787500-F418-4140-9673-E586F1C1FE87}"/>
    <hyperlink ref="A89" r:id="rId59" xr:uid="{101B247B-F782-48A2-B8C8-3A1DF15C08A7}"/>
    <hyperlink ref="A90" r:id="rId60" xr:uid="{CF1F45B8-9AD9-4586-9AF7-E6829297B0E7}"/>
    <hyperlink ref="A91" r:id="rId61" xr:uid="{158639B2-36A1-4A09-AAD2-C5B9508ACA3C}"/>
    <hyperlink ref="A92" r:id="rId62" xr:uid="{E1826D17-99A9-476E-8EB3-7421B92D132F}"/>
    <hyperlink ref="B48" r:id="rId63" xr:uid="{6531E4F5-A8E4-4C65-9524-B86416E7C98C}"/>
    <hyperlink ref="B74" r:id="rId64" display="https://xbrl.efrag.org/eng/interactive/vsme/vsme-guidance-annex-ii/2025-07-30-ec-rec/173" xr:uid="{CD1F773C-4DBC-4FE3-9F8B-EC998D968458}"/>
    <hyperlink ref="B75" r:id="rId65" display="https://xbrl.efrag.org/eng/interactive/vsme/vsme-guidance-annex-ii/2025-07-30-ec-rec/173" xr:uid="{4FEE3EA4-2284-4F07-9B36-2AEE980DF91A}"/>
    <hyperlink ref="B76" r:id="rId66" display="https://xbrl.efrag.org/eng/interactive/vsme/vsme-guidance-annex-ii/2025-07-30-ec-rec/173" xr:uid="{8239416B-CF1E-469D-AA10-1800167E3309}"/>
    <hyperlink ref="B77" r:id="rId67" display="https://xbrl.efrag.org/eng/interactive/vsme/vsme-guidance-annex-ii/2025-07-30-ec-rec/173" xr:uid="{2D45C5BA-97D7-47AA-AA14-72AFE5593D6D}"/>
    <hyperlink ref="B78" r:id="rId68" display="https://xbrl.efrag.org/eng/interactive/vsme/vsme-guidance-annex-ii/2025-07-30-ec-rec/173" xr:uid="{9B15DD8E-2981-4D03-905C-180F87E33E35}"/>
    <hyperlink ref="B79" r:id="rId69" display="https://xbrl.efrag.org/eng/interactive/vsme/vsme-guidance-annex-ii/2025-07-30-ec-rec/173" xr:uid="{8218DE42-1C86-481F-A6AF-1E75450D64FE}"/>
    <hyperlink ref="B80" r:id="rId70" display="https://xbrl.efrag.org/eng/interactive/vsme/vsme-guidance-annex-ii/2025-07-30-ec-rec/173" xr:uid="{9692D913-23F9-4B05-9B66-CE5A503AB1C4}"/>
    <hyperlink ref="B81" r:id="rId71" display="https://xbrl.efrag.org/eng/interactive/vsme/vsme-guidance-annex-ii/2025-07-30-ec-rec/173" xr:uid="{A25FA8FB-F895-497B-A810-794BEE155C88}"/>
    <hyperlink ref="B82" r:id="rId72" display="https://xbrl.efrag.org/eng/interactive/vsme/vsme-guidance-annex-ii/2025-07-30-ec-rec/173" xr:uid="{A1745671-C85A-4B5E-87F6-C0A8FB70740A}"/>
    <hyperlink ref="B86" r:id="rId73" display="https://xbrl.efrag.org/eng/interactive/vsme/vsme-guidance-annex-ii/2025-07-30-ec-rec/174" xr:uid="{FDF17B2D-0176-4706-B411-4F54D97C1CA8}"/>
    <hyperlink ref="B87" r:id="rId74" display="https://xbrl.efrag.org/eng/interactive/vsme/vsme-guidance-annex-ii/2025-07-30-ec-rec/174" xr:uid="{2C16E34B-1B18-4252-805B-637FBAE2CEDF}"/>
    <hyperlink ref="B88" r:id="rId75" display="https://xbrl.efrag.org/eng/interactive/vsme/vsme-guidance-annex-ii/2025-07-30-ec-rec/174" xr:uid="{3332D126-0D3A-487D-8EA3-F1F86FABDCC2}"/>
    <hyperlink ref="B89" r:id="rId76" display="https://xbrl.efrag.org/eng/interactive/vsme/vsme-guidance-annex-ii/2025-07-30-ec-rec/174" xr:uid="{F925DB5F-028A-4910-A85A-739E8E35F229}"/>
    <hyperlink ref="B90" r:id="rId77" display="https://xbrl.efrag.org/eng/interactive/vsme/vsme-guidance-annex-ii/2025-07-30-ec-rec/174" xr:uid="{7E2C1FA0-BF74-4E9C-9226-D9EA1B346D7C}"/>
    <hyperlink ref="B91" r:id="rId78" display="https://xbrl.efrag.org/eng/interactive/vsme/vsme-guidance-annex-ii/2025-07-30-ec-rec/174" xr:uid="{A4A94B65-7800-4536-AA15-3E3817B90BFB}"/>
    <hyperlink ref="B92" r:id="rId79" display="https://xbrl.efrag.org/eng/interactive/vsme/vsme-guidance-annex-ii/2025-07-30-ec-rec/174" xr:uid="{429E65FF-4151-47CA-9440-AD55907CC30E}"/>
    <hyperlink ref="B93" r:id="rId80" display="https://xbrl.efrag.org/eng/interactive/vsme/vsme-guidance-annex-ii/2025-07-30-ec-rec/174" xr:uid="{4E9248DE-3C7F-487D-885D-AC5F2BDFA45D}"/>
    <hyperlink ref="B94" r:id="rId81" display="https://xbrl.efrag.org/eng/interactive/vsme/vsme-guidance-annex-ii/2025-07-30-ec-rec/174" xr:uid="{2908366A-15C9-4C2F-BA5E-D048D6FFDF7A}"/>
    <hyperlink ref="B95" r:id="rId82" display="https://xbrl.efrag.org/eng/interactive/vsme/vsme-guidance-annex-ii/2025-07-30-ec-rec/174" xr:uid="{776DE015-4DF2-44E3-A7D9-CD366BB7D918}"/>
    <hyperlink ref="B45" r:id="rId83" xr:uid="{10325A92-4534-41F4-933D-08B26E504FC3}"/>
    <hyperlink ref="B46" r:id="rId84" xr:uid="{1A6F7006-BBE9-410C-B55B-75B449A59A0F}"/>
    <hyperlink ref="B47" r:id="rId85" xr:uid="{5DCC0FB2-6BC5-4CB6-AA33-4B56399A70A7}"/>
    <hyperlink ref="B70" r:id="rId86" xr:uid="{4E2EB394-1514-475F-A549-6B5ADC5A7ED2}"/>
    <hyperlink ref="B67" r:id="rId87" xr:uid="{D278DC32-8277-4A39-B148-40BD4ACC5845}"/>
    <hyperlink ref="B68" r:id="rId88" xr:uid="{1ED1619E-8E9E-4675-BD93-DB3B39EBEDF8}"/>
  </hyperlinks>
  <pageMargins left="0.7" right="0.7" top="0.75" bottom="0.75" header="0.3" footer="0.3"/>
  <drawing r:id="rId89"/>
  <extLst>
    <ext xmlns:x14="http://schemas.microsoft.com/office/spreadsheetml/2009/9/main" uri="{78C0D931-6437-407d-A8EE-F0AAD7539E65}">
      <x14:conditionalFormattings>
        <x14:conditionalFormatting xmlns:xm="http://schemas.microsoft.com/office/excel/2006/main">
          <x14:cfRule type="expression" priority="59" id="{C1AD0EBF-9256-40D4-AB7C-630EAFD99990}">
            <xm:f>'General Information'!$E$62&gt;50</xm:f>
            <x14:dxf>
              <fill>
                <patternFill patternType="solid">
                  <bgColor rgb="FFFFFF99"/>
                </patternFill>
              </fill>
            </x14:dxf>
          </x14:cfRule>
          <xm:sqref>C38:H40</xm:sqref>
        </x14:conditionalFormatting>
        <x14:conditionalFormatting xmlns:xm="http://schemas.microsoft.com/office/excel/2006/main">
          <x14:cfRule type="expression" priority="39" id="{0A250C4B-DD07-4841-AABD-2DCC525B6367}">
            <xm:f>'General Information'!$E$62&gt;50</xm:f>
            <x14:dxf>
              <fill>
                <patternFill patternType="solid">
                  <bgColor rgb="FFFFFF99"/>
                </patternFill>
              </fill>
            </x14:dxf>
          </x14:cfRule>
          <xm:sqref>C66:H67</xm:sqref>
        </x14:conditionalFormatting>
        <x14:conditionalFormatting xmlns:xm="http://schemas.microsoft.com/office/excel/2006/main">
          <x14:cfRule type="expression" priority="38" id="{69F3CDF1-C506-4C12-A20E-FE804D24A482}">
            <xm:f>'General Information'!$E$62&gt;50</xm:f>
            <x14:dxf>
              <fill>
                <patternFill patternType="none">
                  <bgColor auto="1"/>
                </patternFill>
              </fill>
            </x14:dxf>
          </x14:cfRule>
          <xm:sqref>D69:H70</xm:sqref>
        </x14:conditionalFormatting>
        <x14:conditionalFormatting xmlns:xm="http://schemas.microsoft.com/office/excel/2006/main">
          <x14:cfRule type="expression" priority="37" id="{9B10E77F-7102-491B-A9C8-C6F978FDB272}">
            <xm:f>'General Information'!$E$32="Option A (Basic Module only)"</xm:f>
            <x14:dxf>
              <fill>
                <patternFill>
                  <bgColor theme="0" tint="-0.14996795556505021"/>
                </patternFill>
              </fill>
            </x14:dxf>
          </x14:cfRule>
          <xm:sqref>D75:H80</xm:sqref>
        </x14:conditionalFormatting>
        <x14:conditionalFormatting xmlns:xm="http://schemas.microsoft.com/office/excel/2006/main">
          <x14:cfRule type="expression" priority="26" id="{04A7DFC3-A5B9-44F5-A88C-400BD569DEEE}">
            <xm:f>'General Information'!$E$32="Option A (Basic Module only)"</xm:f>
            <x14:dxf>
              <fill>
                <patternFill>
                  <bgColor theme="0" tint="-0.14996795556505021"/>
                </patternFill>
              </fill>
            </x14:dxf>
          </x14:cfRule>
          <xm:sqref>D87:H91</xm:sqref>
        </x14:conditionalFormatting>
        <x14:conditionalFormatting xmlns:xm="http://schemas.microsoft.com/office/excel/2006/main">
          <x14:cfRule type="expression" priority="6" id="{7FE6ADB3-3DD3-426C-938E-EB2499260F47}">
            <xm:f>'General Information'!$E$32="Option A (Basic Module only)"</xm:f>
            <x14:dxf>
              <fill>
                <patternFill>
                  <bgColor theme="0" tint="-0.14996795556505021"/>
                </patternFill>
              </fill>
            </x14:dxf>
          </x14:cfRule>
          <xm:sqref>E27</xm:sqref>
        </x14:conditionalFormatting>
      </x14:conditionalFormattings>
    </ext>
    <ext xmlns:x14="http://schemas.microsoft.com/office/spreadsheetml/2009/9/main" uri="{CCE6A557-97BC-4b89-ADB6-D9C93CAAB3DF}">
      <x14:dataValidations xmlns:xm="http://schemas.microsoft.com/office/excel/2006/main" count="3">
        <x14:dataValidation type="custom" showInputMessage="1" showErrorMessage="1" xr:uid="{B40D72B0-33D3-4A87-96E8-AAF81F96529B}">
          <x14:formula1>
            <xm:f>IF('General Information'!$E$64="","-",'General Information'!$E$64)</xm:f>
          </x14:formula1>
          <xm:sqref>F2:H2</xm:sqref>
        </x14:dataValidation>
        <x14:dataValidation type="custom" showInputMessage="1" showErrorMessage="1" xr:uid="{32F728F7-53E1-49E0-A9CF-2F3E85840EB1}">
          <x14:formula1>
            <xm:f>IF('General Information'!$E$62="","-",'General Information'!$E$62)</xm:f>
          </x14:formula1>
          <xm:sqref>D22:G22 E33</xm:sqref>
        </x14:dataValidation>
        <x14:dataValidation type="decimal" operator="lessThanOrEqual" showInputMessage="1" showErrorMessage="1" xr:uid="{4524FD31-9514-4873-ACED-6F067A4868E8}">
          <x14:formula1>
            <xm:f>'General Information'!E62</xm:f>
          </x14:formula1>
          <xm:sqref>D52:H52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9B14-26A1-417D-A9CD-577098931573}">
  <sheetPr codeName="Sheet5"/>
  <dimension ref="A1:BZ218"/>
  <sheetViews>
    <sheetView zoomScaleNormal="100" workbookViewId="0">
      <selection activeCell="B14" sqref="B14"/>
    </sheetView>
  </sheetViews>
  <sheetFormatPr baseColWidth="10" defaultColWidth="8.85546875" defaultRowHeight="15" x14ac:dyDescent="0.25"/>
  <cols>
    <col min="1" max="2" width="10" bestFit="1" customWidth="1"/>
    <col min="3" max="3" width="33.5703125" customWidth="1"/>
    <col min="5" max="5" width="14.42578125" customWidth="1"/>
    <col min="7" max="7" width="24.42578125" customWidth="1"/>
    <col min="8" max="8" width="38.42578125" customWidth="1"/>
    <col min="9" max="9" width="15.5703125" style="12" customWidth="1"/>
    <col min="10" max="10" width="16.42578125" style="7" customWidth="1"/>
    <col min="11" max="78" width="8.5703125" style="7"/>
  </cols>
  <sheetData>
    <row r="1" spans="1:9" ht="60.75" thickBot="1" x14ac:dyDescent="0.3">
      <c r="A1" s="182" t="s">
        <v>180</v>
      </c>
      <c r="B1" s="182" t="s">
        <v>181</v>
      </c>
      <c r="C1" s="7"/>
      <c r="D1" s="7"/>
      <c r="E1" s="7"/>
      <c r="F1" s="7"/>
      <c r="G1" s="7"/>
      <c r="H1" s="7"/>
    </row>
    <row r="2" spans="1:9" x14ac:dyDescent="0.25">
      <c r="A2" s="7"/>
      <c r="B2" s="7"/>
      <c r="C2" s="350" t="str">
        <f>template_label_b11_convictions_and_fines_for_corruption_and_bribery&amp;" "&amp;template_label_from&amp;" "&amp;template_starting_date_display&amp;" "&amp;template_label_to&amp;" "&amp;template_ending_date_display&amp;" "&amp;template_label_if_applicable</f>
        <v>B11 – Convictions and fines for corruption and bribery from 2025-01-01 to 2025-12-31 [If applicable]</v>
      </c>
      <c r="D2" s="351"/>
      <c r="E2" s="351"/>
      <c r="F2" s="351"/>
      <c r="G2" s="351"/>
      <c r="H2" s="352"/>
    </row>
    <row r="3" spans="1:9" x14ac:dyDescent="0.25">
      <c r="A3" s="7"/>
      <c r="B3" s="7"/>
      <c r="C3" s="940">
        <v>43</v>
      </c>
      <c r="D3" s="941"/>
      <c r="E3" s="941"/>
      <c r="F3" s="941"/>
      <c r="G3" s="941"/>
      <c r="H3" s="942"/>
    </row>
    <row r="4" spans="1:9" x14ac:dyDescent="0.25">
      <c r="A4" s="7"/>
      <c r="B4" s="7"/>
      <c r="C4" s="943" t="s">
        <v>182</v>
      </c>
      <c r="D4" s="911"/>
      <c r="E4" s="911"/>
      <c r="F4" s="911"/>
      <c r="G4" s="911"/>
      <c r="H4" s="944"/>
    </row>
    <row r="5" spans="1:9" s="7" customFormat="1" x14ac:dyDescent="0.25">
      <c r="C5" s="919" t="str">
        <f>template_label_has_the_undertaking_incurred_in_convictions_and_fines_in_the_reporting_period</f>
        <v>Has the undertaking incurred in convictions and fines in the reporting period?</v>
      </c>
      <c r="D5" s="920"/>
      <c r="E5" s="920"/>
      <c r="F5" s="920"/>
      <c r="G5" s="920"/>
      <c r="H5" s="132" t="b">
        <v>0</v>
      </c>
      <c r="I5" s="12"/>
    </row>
    <row r="6" spans="1:9" s="7" customFormat="1" ht="21.6" customHeight="1" x14ac:dyDescent="0.25">
      <c r="C6" s="963" t="str">
        <f>template_label_total_number_of_convictions_for_the_violation_of_anti_corruption_and_anti_bribery_laws</f>
        <v>Total number of convictions  for the violation of anti-corruption and anti-bribery laws</v>
      </c>
      <c r="D6" s="964"/>
      <c r="E6" s="964"/>
      <c r="F6" s="964"/>
      <c r="G6" s="965"/>
      <c r="H6" s="213"/>
      <c r="I6" s="12" t="str">
        <f>IF(AND($H$5=TRUE,H6&lt;&gt;""), template_label_ok,
IF(AND($H$5=TRUE,H6=""), template_label_missing_value, ""))</f>
        <v/>
      </c>
    </row>
    <row r="7" spans="1:9" s="7" customFormat="1" ht="15.75" thickBot="1" x14ac:dyDescent="0.3">
      <c r="C7" s="966" t="str">
        <f>template_label_total_amount_of_fines_for_the_violation_of_anti_corruption_and_anti_bribery_laws &amp; " " &amp; "(" &amp; template_label_amount_in &amp; " " &amp; template_currency &amp; ")"</f>
        <v>Total amount of fines for the violation of anti-corruption and anti-bribery laws (amount in EUR)</v>
      </c>
      <c r="D7" s="967"/>
      <c r="E7" s="967"/>
      <c r="F7" s="967"/>
      <c r="G7" s="968"/>
      <c r="H7" s="214"/>
      <c r="I7" s="12" t="str">
        <f>IF(AND($H$5=TRUE,H7&lt;&gt;""), template_label_ok,
IF(AND($H$5=TRUE,H7=""), template_label_missing_value, ""))</f>
        <v/>
      </c>
    </row>
    <row r="8" spans="1:9" s="7" customFormat="1" ht="15.75" thickBot="1" x14ac:dyDescent="0.3">
      <c r="I8" s="12"/>
    </row>
    <row r="9" spans="1:9" s="7" customFormat="1" x14ac:dyDescent="0.25">
      <c r="C9" s="838" t="str">
        <f>template_label_c8_revenues_from_certain_sectors&amp;" "&amp;template_label_from&amp;" "&amp;template_starting_date_display&amp;" "&amp;template_label_to&amp;" "&amp;template_ending_date_display&amp;" "&amp;template_label_if_applicable</f>
        <v>C8 – Revenues from certain activities from 2025-01-01 to 2025-12-31 [If applicable]</v>
      </c>
      <c r="D9" s="935"/>
      <c r="E9" s="935"/>
      <c r="F9" s="935"/>
      <c r="G9" s="935"/>
      <c r="H9" s="936"/>
      <c r="I9" s="12"/>
    </row>
    <row r="10" spans="1:9" ht="28.35" customHeight="1" x14ac:dyDescent="0.25">
      <c r="A10" s="7"/>
      <c r="B10" s="7"/>
      <c r="C10" s="919" t="str">
        <f>template_label_is_the_undertaking_deriving_revenues_from_one_of_the_activities_listed_below</f>
        <v>Is the undertaking deriving revenues from one of the activities listed below?</v>
      </c>
      <c r="D10" s="920"/>
      <c r="E10" s="920"/>
      <c r="F10" s="920"/>
      <c r="G10" s="920"/>
      <c r="H10" s="133" t="b">
        <v>0</v>
      </c>
    </row>
    <row r="11" spans="1:9" x14ac:dyDescent="0.25">
      <c r="A11" s="7"/>
      <c r="B11" s="7"/>
      <c r="C11" s="949"/>
      <c r="D11" s="950"/>
      <c r="E11" s="950"/>
      <c r="F11" s="950"/>
      <c r="G11" s="950"/>
      <c r="H11" s="20" t="str">
        <f>template_label_monetary_amount_in &amp; " " &amp; template_currency</f>
        <v>Monetary amount in EUR</v>
      </c>
    </row>
    <row r="12" spans="1:9" s="7" customFormat="1" ht="32.450000000000003" customHeight="1" x14ac:dyDescent="0.25">
      <c r="A12" s="319" t="s">
        <v>183</v>
      </c>
      <c r="B12" s="322" t="s">
        <v>184</v>
      </c>
      <c r="C12" s="610" t="str">
        <f>template_label_revenue_derived_from_controversial_weapons</f>
        <v>Revenue derived from controversial weapons (anti-personnel mines cluster munitions chemical weapons and biological weapons)</v>
      </c>
      <c r="D12" s="611"/>
      <c r="E12" s="611"/>
      <c r="F12" s="611"/>
      <c r="G12" s="611"/>
      <c r="H12" s="209"/>
      <c r="I12" s="923" t="str">
        <f>IF(AND(H10=FALSE,COUNTA(H12:H16)=0, H18=""),
    "",
    IF(AND(OR(COUNTA(H12:H16)&gt;0, H18&lt;&gt;""), SUM(H12:H16, H18)&lt;='General Information'!E61),
        template_label_ok,
        IF(AND(H10=TRUE, COUNTA(H12:H16)=0, H18=""),
            template_label_missing_value,
            template_label_value_inconsistency
        )
    )
)</f>
        <v/>
      </c>
    </row>
    <row r="13" spans="1:9" s="7" customFormat="1" ht="15.75" thickBot="1" x14ac:dyDescent="0.3">
      <c r="A13" s="319" t="s">
        <v>185</v>
      </c>
      <c r="B13" s="322" t="s">
        <v>184</v>
      </c>
      <c r="C13" s="661" t="str">
        <f>template_label_revenue_derived_from_cultivation_and_production_of_tobacco</f>
        <v>Revenue derived from cultivation and production of tobacco</v>
      </c>
      <c r="D13" s="844"/>
      <c r="E13" s="844"/>
      <c r="F13" s="844"/>
      <c r="G13" s="844"/>
      <c r="H13" s="210"/>
      <c r="I13" s="923"/>
    </row>
    <row r="14" spans="1:9" s="7" customFormat="1" x14ac:dyDescent="0.25">
      <c r="A14" s="329" t="s">
        <v>186</v>
      </c>
      <c r="B14" s="322" t="s">
        <v>184</v>
      </c>
      <c r="C14" s="924" t="str">
        <f>template_label_revenue_derived_from_coal</f>
        <v>Revenue derived from coal</v>
      </c>
      <c r="D14" s="925"/>
      <c r="E14" s="925"/>
      <c r="F14" s="925"/>
      <c r="G14" s="925"/>
      <c r="H14" s="211"/>
      <c r="I14" s="923"/>
    </row>
    <row r="15" spans="1:9" s="7" customFormat="1" x14ac:dyDescent="0.25">
      <c r="A15" s="329" t="s">
        <v>186</v>
      </c>
      <c r="B15" s="322" t="s">
        <v>184</v>
      </c>
      <c r="C15" s="610" t="str">
        <f>template_label_revenue_derived_from_oil</f>
        <v>Revenue derived from oil</v>
      </c>
      <c r="D15" s="611"/>
      <c r="E15" s="611"/>
      <c r="F15" s="611"/>
      <c r="G15" s="611"/>
      <c r="H15" s="209"/>
      <c r="I15" s="923"/>
    </row>
    <row r="16" spans="1:9" s="7" customFormat="1" x14ac:dyDescent="0.25">
      <c r="A16" s="329" t="s">
        <v>186</v>
      </c>
      <c r="B16" s="322" t="s">
        <v>184</v>
      </c>
      <c r="C16" s="610" t="str">
        <f>template_label_revenue_derived_from_gas</f>
        <v>Revenue derived from gas</v>
      </c>
      <c r="D16" s="611"/>
      <c r="E16" s="611"/>
      <c r="F16" s="611"/>
      <c r="G16" s="611"/>
      <c r="H16" s="209"/>
      <c r="I16" s="923"/>
    </row>
    <row r="17" spans="1:9" s="7" customFormat="1" ht="60.6" customHeight="1" thickBot="1" x14ac:dyDescent="0.3">
      <c r="A17" s="329" t="s">
        <v>186</v>
      </c>
      <c r="B17" s="322" t="s">
        <v>184</v>
      </c>
      <c r="C17" s="921" t="str">
        <f>template_label_total_revenues_derived_from_fossil_fuel_sector</f>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D17" s="922"/>
      <c r="E17" s="922"/>
      <c r="F17" s="922"/>
      <c r="G17" s="922"/>
      <c r="H17" s="205" t="str">
        <f>IF(COUNTA(H14:H16)=0, "-", SUM(H14:H16))</f>
        <v>-</v>
      </c>
      <c r="I17" s="923"/>
    </row>
    <row r="18" spans="1:9" s="7" customFormat="1" ht="15.75" thickBot="1" x14ac:dyDescent="0.3">
      <c r="A18" s="319" t="s">
        <v>187</v>
      </c>
      <c r="B18" s="322" t="s">
        <v>184</v>
      </c>
      <c r="C18" s="663" t="str">
        <f>template_label_revenue_derived_from_chemicals_production</f>
        <v>Revenue derived from chemicals production</v>
      </c>
      <c r="D18" s="948"/>
      <c r="E18" s="948"/>
      <c r="F18" s="948"/>
      <c r="G18" s="948"/>
      <c r="H18" s="212"/>
      <c r="I18" s="923"/>
    </row>
    <row r="19" spans="1:9" s="7" customFormat="1" ht="15.75" thickBot="1" x14ac:dyDescent="0.3">
      <c r="I19" s="12"/>
    </row>
    <row r="20" spans="1:9" s="7" customFormat="1" x14ac:dyDescent="0.25">
      <c r="C20" s="838" t="str">
        <f>template_label_c8_exclusion_from_eu_reference_benchmarks&amp;" "&amp;template_label_from&amp;" "&amp;template_starting_date_display&amp;" "&amp;template_label_to&amp;" "&amp;template_ending_date_display&amp;" "&amp;template_label_always_to_be_reported</f>
        <v>C8 – Exclusion from EU reference benchmarks from 2025-01-01 to 2025-12-31 [Always to be reported]</v>
      </c>
      <c r="D20" s="935"/>
      <c r="E20" s="935"/>
      <c r="F20" s="935"/>
      <c r="G20" s="935"/>
      <c r="H20" s="936"/>
      <c r="I20" s="12"/>
    </row>
    <row r="21" spans="1:9" s="7" customFormat="1" x14ac:dyDescent="0.25">
      <c r="B21" s="298"/>
      <c r="C21" s="945" t="str">
        <f>template_label_undertakings_are_excluded_from_the_eu_paris_aligned_benchmarks_if_they_derive</f>
        <v>Undertakings are excluded from the EU Paris-aligned Benchmarks if they  derive:</v>
      </c>
      <c r="D21" s="946"/>
      <c r="E21" s="946"/>
      <c r="F21" s="946"/>
      <c r="G21" s="946"/>
      <c r="H21" s="947"/>
      <c r="I21" s="12"/>
    </row>
    <row r="22" spans="1:9" s="7" customFormat="1" ht="30" customHeight="1" x14ac:dyDescent="0.25">
      <c r="A22" s="319">
        <v>64</v>
      </c>
      <c r="B22" s="322" t="s">
        <v>188</v>
      </c>
      <c r="C22" s="951" t="str">
        <f>template_label_1_percent_or_more_of_their_revenues_from_exploration_mining_extraction_distribution_or_refining_of_hard_coal_and_lignite</f>
        <v>1% or more of their revenues from exploration mining extraction distribution or refining of hard coal and lignite</v>
      </c>
      <c r="D22" s="952"/>
      <c r="E22" s="952"/>
      <c r="F22" s="952"/>
      <c r="G22" s="953"/>
      <c r="H22" s="134" t="b">
        <v>0</v>
      </c>
      <c r="I22" s="434" t="str">
        <f>IF(AND(OR(H22=TRUE, H23=TRUE, H24=TRUE, H25=TRUE), 'General Information'!E32="Option B (Basic Module and Comprehensive Module)"), template_label_ok,
    IF(AND(H22=FALSE, H23=FALSE, H24=FALSE, H25=FALSE, H26=FALSE, 'General Information'!E32="Option B (Basic Module and Comprehensive Module)"), template_label_missing_value,
    IF('General Information'!E32="Option A (Basic Module only)", "",
    IF(AND('General Information'!E32="Option B (Basic Module and Comprehensive Module)", H26=TRUE), template_label_ok, ""))))</f>
        <v>OK</v>
      </c>
    </row>
    <row r="23" spans="1:9" s="7" customFormat="1" x14ac:dyDescent="0.25">
      <c r="A23" s="319">
        <v>64</v>
      </c>
      <c r="B23" s="322" t="s">
        <v>189</v>
      </c>
      <c r="C23" s="954" t="str">
        <f>template_label_10_percent_or_more_of_their_revenues_from_the_exploration_extraction_distribution_or_refining_of_oil_fuels</f>
        <v>10% or more of their revenues from the exploration extraction distribution or refining of oil fuels</v>
      </c>
      <c r="D23" s="955"/>
      <c r="E23" s="955"/>
      <c r="F23" s="955"/>
      <c r="G23" s="956"/>
      <c r="H23" s="135" t="b">
        <v>0</v>
      </c>
      <c r="I23" s="434"/>
    </row>
    <row r="24" spans="1:9" s="7" customFormat="1" ht="32.450000000000003" customHeight="1" x14ac:dyDescent="0.25">
      <c r="A24" s="319">
        <v>64</v>
      </c>
      <c r="B24" s="322" t="s">
        <v>190</v>
      </c>
      <c r="C24" s="957" t="str">
        <f>template_label_50_percent_or_more_of_their_revenues_from_the_exploration_extraction_manufacturing_or_distribution_of_gaseous_fuels</f>
        <v>50% or more of their revenues from the exploration extraction manufacturing or distribution of gaseous fuels</v>
      </c>
      <c r="D24" s="958"/>
      <c r="E24" s="958"/>
      <c r="F24" s="958"/>
      <c r="G24" s="959"/>
      <c r="H24" s="135" t="b">
        <v>0</v>
      </c>
      <c r="I24" s="434"/>
    </row>
    <row r="25" spans="1:9" s="7" customFormat="1" ht="31.35" customHeight="1" thickBot="1" x14ac:dyDescent="0.3">
      <c r="A25" s="319">
        <v>64</v>
      </c>
      <c r="B25" s="322" t="s">
        <v>191</v>
      </c>
      <c r="C25" s="960" t="str">
        <f>template_label_50_percent_or_more_of_their_revenues_from_electricity_generation</f>
        <v>50% or more of their revenues from electricity generation with a GHG intensity of more than 100g CO2 e kWh</v>
      </c>
      <c r="D25" s="961"/>
      <c r="E25" s="961"/>
      <c r="F25" s="961"/>
      <c r="G25" s="962"/>
      <c r="H25" s="136" t="b">
        <v>0</v>
      </c>
      <c r="I25" s="434"/>
    </row>
    <row r="26" spans="1:9" s="7" customFormat="1" ht="15.75" thickBot="1" x14ac:dyDescent="0.3">
      <c r="C26" s="929" t="str">
        <f>template_label_none_of_the_above</f>
        <v>None of the above</v>
      </c>
      <c r="D26" s="930"/>
      <c r="E26" s="930"/>
      <c r="F26" s="930"/>
      <c r="G26" s="931"/>
      <c r="H26" s="137" t="b">
        <v>1</v>
      </c>
      <c r="I26" s="434"/>
    </row>
    <row r="27" spans="1:9" s="7" customFormat="1" ht="15.75" thickBot="1" x14ac:dyDescent="0.3">
      <c r="A27" s="319">
        <v>64</v>
      </c>
      <c r="B27" s="322">
        <v>177</v>
      </c>
      <c r="C27" s="932" t="str">
        <f>template_label_undertakings_are_excluded_from_any_eu_reference_benchmarks_that_are_aligned_with_the_paris_agreement</f>
        <v>Undertakings are excluded from any EU reference benchmarks that are aligned with the Paris Agreement</v>
      </c>
      <c r="D27" s="933"/>
      <c r="E27" s="933"/>
      <c r="F27" s="933"/>
      <c r="G27" s="934"/>
      <c r="H27" s="17" t="str">
        <f>IF(AND(OR(H22=TRUE, H23=TRUE, H24=TRUE, H25=TRUE), H26=FALSE), "YES",
   IF(AND(OR(H22=TRUE, H23=TRUE, H24=TRUE, H25=TRUE), H26=TRUE), "NA",
   IF(AND(H22=FALSE, H23=FALSE, H24=FALSE, H25=FALSE, H26=TRUE), "NO",
   IF(AND(H22=FALSE, H23=FALSE, H24=FALSE, H25=FALSE, H26=FALSE), "-", ""))))</f>
        <v>NO</v>
      </c>
      <c r="I27" s="12" t="str">
        <f>IF(H27=TRUE, template_label_ok, "")</f>
        <v/>
      </c>
    </row>
    <row r="28" spans="1:9" s="7" customFormat="1" ht="15.75" thickBot="1" x14ac:dyDescent="0.3">
      <c r="I28" s="12"/>
    </row>
    <row r="29" spans="1:9" s="7" customFormat="1" x14ac:dyDescent="0.25">
      <c r="C29" s="937" t="str">
        <f>template_label_c9_gender_diversity_ratio_in_the_governance_body&amp;" "&amp;template_label_at&amp;" "&amp;template_ending_date_display&amp;" "&amp;template_label_if_applicable</f>
        <v>C9 – Gender diversity ratio in the governance body at 2025-12-31 [If applicable]</v>
      </c>
      <c r="D29" s="938"/>
      <c r="E29" s="938"/>
      <c r="F29" s="938"/>
      <c r="G29" s="938"/>
      <c r="H29" s="939"/>
      <c r="I29" s="12"/>
    </row>
    <row r="30" spans="1:9" s="7" customFormat="1" x14ac:dyDescent="0.25">
      <c r="C30" s="919" t="str">
        <f>template_label_does_the_undertaking_have_a_governance_body_in_place</f>
        <v>Does the undertaking have a governance body in place?</v>
      </c>
      <c r="D30" s="920"/>
      <c r="E30" s="920"/>
      <c r="F30" s="920"/>
      <c r="G30" s="920"/>
      <c r="H30" s="133" t="b">
        <v>1</v>
      </c>
      <c r="I30" s="12"/>
    </row>
    <row r="31" spans="1:9" s="7" customFormat="1" x14ac:dyDescent="0.25">
      <c r="A31" s="911">
        <v>65</v>
      </c>
      <c r="B31" s="914" t="s">
        <v>192</v>
      </c>
      <c r="C31" s="919" t="str">
        <f>template_label_number_of_female_board_members_at_the_end_of_the_reporting_period</f>
        <v>Number of female board members at the end of the reporting period</v>
      </c>
      <c r="D31" s="920"/>
      <c r="E31" s="920"/>
      <c r="F31" s="920"/>
      <c r="G31" s="920"/>
      <c r="H31" s="209">
        <v>1</v>
      </c>
      <c r="I31" s="12" t="str">
        <f>IF(AND($H$30=TRUE, H31&lt;&gt;""), template_label_ok, IF(AND($H$30=TRUE, H31=""), template_label_missing_value, ""))</f>
        <v>OK</v>
      </c>
    </row>
    <row r="32" spans="1:9" s="7" customFormat="1" x14ac:dyDescent="0.25">
      <c r="A32" s="912"/>
      <c r="B32" s="915"/>
      <c r="C32" s="919" t="str">
        <f>template_label_number_of_male_board_members_at_the_end_of_the_reporting_period</f>
        <v>Number of male board members at the end of the reporting period</v>
      </c>
      <c r="D32" s="920"/>
      <c r="E32" s="920"/>
      <c r="F32" s="920"/>
      <c r="G32" s="920"/>
      <c r="H32" s="209">
        <v>5</v>
      </c>
      <c r="I32" s="12" t="str">
        <f>IF(AND($H$30=TRUE, H32&lt;&gt;""), template_label_ok, IF(AND($H$30=TRUE, H32=""), template_label_missing_value, ""))</f>
        <v>OK</v>
      </c>
    </row>
    <row r="33" spans="1:9" s="7" customFormat="1" ht="15.75" thickBot="1" x14ac:dyDescent="0.3">
      <c r="A33" s="913"/>
      <c r="B33" s="916"/>
      <c r="C33" s="917" t="str">
        <f>template_label_gender_diversity_ratio_in_governance_body</f>
        <v>Gender diversity ratio in governance body</v>
      </c>
      <c r="D33" s="918"/>
      <c r="E33" s="918"/>
      <c r="F33" s="918"/>
      <c r="G33" s="918"/>
      <c r="H33" s="205">
        <f>IF(AND(H31&lt;&gt;"",H32&lt;&gt;""),IF(OR(H31=0,H32=0),0,H31/H32),"-")</f>
        <v>0.2</v>
      </c>
      <c r="I33" s="12"/>
    </row>
    <row r="34" spans="1:9" s="7" customFormat="1" x14ac:dyDescent="0.25">
      <c r="I34" s="12"/>
    </row>
    <row r="35" spans="1:9" s="7" customFormat="1" x14ac:dyDescent="0.25">
      <c r="I35" s="12"/>
    </row>
    <row r="36" spans="1:9" s="7" customFormat="1" x14ac:dyDescent="0.25">
      <c r="C36" s="494" t="str">
        <f>template_label_disclosure_of_any_other_governance_and_or_entity_specific_governance_disclosures&amp;" "&amp;template_label_from&amp;" "&amp;template_starting_date_display&amp;" "&amp;template_label_to&amp;" "&amp;template_ending_date_display&amp;" " &amp; template_label_may</f>
        <v>Disclosure of any other governance and or entity specific governance disclosures from 2025-01-01 to 2025-12-31 [May (optional)]</v>
      </c>
      <c r="D36" s="495"/>
      <c r="E36" s="495"/>
      <c r="F36" s="495"/>
      <c r="G36" s="495"/>
      <c r="H36" s="496"/>
      <c r="I36" s="12"/>
    </row>
    <row r="37" spans="1:9" s="7" customFormat="1" x14ac:dyDescent="0.25">
      <c r="C37" s="926">
        <v>10</v>
      </c>
      <c r="D37" s="927"/>
      <c r="E37" s="927"/>
      <c r="F37" s="927"/>
      <c r="G37" s="927"/>
      <c r="H37" s="928"/>
      <c r="I37" s="12"/>
    </row>
    <row r="38" spans="1:9" s="7" customFormat="1" ht="15.75" thickBot="1" x14ac:dyDescent="0.3">
      <c r="C38" s="500"/>
      <c r="D38" s="501"/>
      <c r="E38" s="501"/>
      <c r="F38" s="501"/>
      <c r="G38" s="501"/>
      <c r="H38" s="502"/>
      <c r="I38" s="16" t="str">
        <f>IF(C38&lt;&gt;"",template_label_ok, "")</f>
        <v/>
      </c>
    </row>
    <row r="39" spans="1:9" s="7" customFormat="1" x14ac:dyDescent="0.25">
      <c r="I39" s="12"/>
    </row>
    <row r="40" spans="1:9" s="7" customFormat="1" x14ac:dyDescent="0.25">
      <c r="I40" s="12"/>
    </row>
    <row r="41" spans="1:9" s="7" customFormat="1" x14ac:dyDescent="0.25">
      <c r="I41" s="12"/>
    </row>
    <row r="42" spans="1:9" s="7" customFormat="1" x14ac:dyDescent="0.25">
      <c r="I42" s="12"/>
    </row>
    <row r="43" spans="1:9" s="7" customFormat="1" x14ac:dyDescent="0.25">
      <c r="I43" s="12"/>
    </row>
    <row r="44" spans="1:9" s="7" customFormat="1" x14ac:dyDescent="0.25">
      <c r="I44" s="12"/>
    </row>
    <row r="45" spans="1:9" s="7" customFormat="1" x14ac:dyDescent="0.25">
      <c r="I45" s="12"/>
    </row>
    <row r="46" spans="1:9" s="7" customFormat="1" x14ac:dyDescent="0.25">
      <c r="I46" s="12"/>
    </row>
    <row r="47" spans="1:9" s="7" customFormat="1" x14ac:dyDescent="0.25">
      <c r="I47" s="12"/>
    </row>
    <row r="48" spans="1:9" s="7" customFormat="1" x14ac:dyDescent="0.25">
      <c r="I48" s="12"/>
    </row>
    <row r="49" spans="9:9" s="7" customFormat="1" x14ac:dyDescent="0.25">
      <c r="I49" s="12"/>
    </row>
    <row r="50" spans="9:9" s="7" customFormat="1" x14ac:dyDescent="0.25">
      <c r="I50" s="12"/>
    </row>
    <row r="51" spans="9:9" s="7" customFormat="1" x14ac:dyDescent="0.25">
      <c r="I51" s="12"/>
    </row>
    <row r="52" spans="9:9" s="7" customFormat="1" x14ac:dyDescent="0.25">
      <c r="I52" s="12"/>
    </row>
    <row r="53" spans="9:9" s="7" customFormat="1" x14ac:dyDescent="0.25">
      <c r="I53" s="12"/>
    </row>
    <row r="54" spans="9:9" s="7" customFormat="1" x14ac:dyDescent="0.25">
      <c r="I54" s="12"/>
    </row>
    <row r="55" spans="9:9" s="7" customFormat="1" x14ac:dyDescent="0.25">
      <c r="I55" s="12"/>
    </row>
    <row r="56" spans="9:9" s="7" customFormat="1" x14ac:dyDescent="0.25">
      <c r="I56" s="12"/>
    </row>
    <row r="57" spans="9:9" s="7" customFormat="1" x14ac:dyDescent="0.25">
      <c r="I57" s="12"/>
    </row>
    <row r="58" spans="9:9" s="7" customFormat="1" x14ac:dyDescent="0.25">
      <c r="I58" s="12"/>
    </row>
    <row r="59" spans="9:9" s="7" customFormat="1" x14ac:dyDescent="0.25">
      <c r="I59" s="12"/>
    </row>
    <row r="60" spans="9:9" s="7" customFormat="1" x14ac:dyDescent="0.25">
      <c r="I60" s="12"/>
    </row>
    <row r="61" spans="9:9" s="7" customFormat="1" x14ac:dyDescent="0.25">
      <c r="I61" s="12"/>
    </row>
    <row r="62" spans="9:9" s="7" customFormat="1" x14ac:dyDescent="0.25">
      <c r="I62" s="12"/>
    </row>
    <row r="63" spans="9:9" s="7" customFormat="1" x14ac:dyDescent="0.25">
      <c r="I63" s="12"/>
    </row>
    <row r="64" spans="9:9" s="7" customFormat="1" x14ac:dyDescent="0.25">
      <c r="I64" s="12"/>
    </row>
    <row r="65" spans="9:9" s="7" customFormat="1" x14ac:dyDescent="0.25">
      <c r="I65" s="12"/>
    </row>
    <row r="66" spans="9:9" s="7" customFormat="1" x14ac:dyDescent="0.25">
      <c r="I66" s="12"/>
    </row>
    <row r="67" spans="9:9" s="7" customFormat="1" x14ac:dyDescent="0.25">
      <c r="I67" s="12"/>
    </row>
    <row r="68" spans="9:9" s="7" customFormat="1" x14ac:dyDescent="0.25">
      <c r="I68" s="12"/>
    </row>
    <row r="69" spans="9:9" s="7" customFormat="1" x14ac:dyDescent="0.25">
      <c r="I69" s="12"/>
    </row>
    <row r="70" spans="9:9" s="7" customFormat="1" x14ac:dyDescent="0.25">
      <c r="I70" s="12"/>
    </row>
    <row r="71" spans="9:9" s="7" customFormat="1" x14ac:dyDescent="0.25">
      <c r="I71" s="12"/>
    </row>
    <row r="72" spans="9:9" s="7" customFormat="1" x14ac:dyDescent="0.25">
      <c r="I72" s="12"/>
    </row>
    <row r="73" spans="9:9" s="7" customFormat="1" x14ac:dyDescent="0.25">
      <c r="I73" s="12"/>
    </row>
    <row r="74" spans="9:9" s="7" customFormat="1" x14ac:dyDescent="0.25">
      <c r="I74" s="12"/>
    </row>
    <row r="75" spans="9:9" s="7" customFormat="1" x14ac:dyDescent="0.25">
      <c r="I75" s="12"/>
    </row>
    <row r="76" spans="9:9" s="7" customFormat="1" x14ac:dyDescent="0.25">
      <c r="I76" s="12"/>
    </row>
    <row r="77" spans="9:9" s="7" customFormat="1" x14ac:dyDescent="0.25">
      <c r="I77" s="12"/>
    </row>
    <row r="78" spans="9:9" s="7" customFormat="1" x14ac:dyDescent="0.25">
      <c r="I78" s="12"/>
    </row>
    <row r="79" spans="9:9" s="7" customFormat="1" x14ac:dyDescent="0.25">
      <c r="I79" s="12"/>
    </row>
    <row r="80" spans="9:9" s="7" customFormat="1" x14ac:dyDescent="0.25">
      <c r="I80" s="12"/>
    </row>
    <row r="81" spans="9:9" s="7" customFormat="1" x14ac:dyDescent="0.25">
      <c r="I81" s="12"/>
    </row>
    <row r="82" spans="9:9" s="7" customFormat="1" x14ac:dyDescent="0.25">
      <c r="I82" s="12"/>
    </row>
    <row r="83" spans="9:9" s="7" customFormat="1" x14ac:dyDescent="0.25">
      <c r="I83" s="12"/>
    </row>
    <row r="84" spans="9:9" s="7" customFormat="1" x14ac:dyDescent="0.25">
      <c r="I84" s="12"/>
    </row>
    <row r="85" spans="9:9" s="7" customFormat="1" x14ac:dyDescent="0.25">
      <c r="I85" s="12"/>
    </row>
    <row r="86" spans="9:9" s="7" customFormat="1" x14ac:dyDescent="0.25">
      <c r="I86" s="12"/>
    </row>
    <row r="87" spans="9:9" s="7" customFormat="1" x14ac:dyDescent="0.25">
      <c r="I87" s="12"/>
    </row>
    <row r="88" spans="9:9" s="7" customFormat="1" x14ac:dyDescent="0.25">
      <c r="I88" s="12"/>
    </row>
    <row r="89" spans="9:9" s="7" customFormat="1" x14ac:dyDescent="0.25">
      <c r="I89" s="12"/>
    </row>
    <row r="90" spans="9:9" s="7" customFormat="1" x14ac:dyDescent="0.25">
      <c r="I90" s="12"/>
    </row>
    <row r="91" spans="9:9" s="7" customFormat="1" x14ac:dyDescent="0.25">
      <c r="I91" s="12"/>
    </row>
    <row r="92" spans="9:9" s="7" customFormat="1" x14ac:dyDescent="0.25">
      <c r="I92" s="12"/>
    </row>
    <row r="93" spans="9:9" s="7" customFormat="1" x14ac:dyDescent="0.25">
      <c r="I93" s="12"/>
    </row>
    <row r="94" spans="9:9" s="7" customFormat="1" x14ac:dyDescent="0.25">
      <c r="I94" s="12"/>
    </row>
    <row r="95" spans="9:9" s="7" customFormat="1" x14ac:dyDescent="0.25">
      <c r="I95" s="12"/>
    </row>
    <row r="96" spans="9:9" s="7" customFormat="1" x14ac:dyDescent="0.25">
      <c r="I96" s="12"/>
    </row>
    <row r="97" spans="9:9" s="7" customFormat="1" x14ac:dyDescent="0.25">
      <c r="I97" s="12"/>
    </row>
    <row r="98" spans="9:9" s="7" customFormat="1" x14ac:dyDescent="0.25">
      <c r="I98" s="12"/>
    </row>
    <row r="99" spans="9:9" s="7" customFormat="1" x14ac:dyDescent="0.25">
      <c r="I99" s="12"/>
    </row>
    <row r="100" spans="9:9" s="7" customFormat="1" x14ac:dyDescent="0.25">
      <c r="I100" s="12"/>
    </row>
    <row r="101" spans="9:9" s="7" customFormat="1" x14ac:dyDescent="0.25">
      <c r="I101" s="12"/>
    </row>
    <row r="102" spans="9:9" s="7" customFormat="1" x14ac:dyDescent="0.25">
      <c r="I102" s="12"/>
    </row>
    <row r="103" spans="9:9" s="7" customFormat="1" x14ac:dyDescent="0.25">
      <c r="I103" s="12"/>
    </row>
    <row r="104" spans="9:9" s="7" customFormat="1" x14ac:dyDescent="0.25">
      <c r="I104" s="12"/>
    </row>
    <row r="105" spans="9:9" s="7" customFormat="1" x14ac:dyDescent="0.25">
      <c r="I105" s="12"/>
    </row>
    <row r="106" spans="9:9" s="7" customFormat="1" x14ac:dyDescent="0.25">
      <c r="I106" s="12"/>
    </row>
    <row r="107" spans="9:9" s="7" customFormat="1" x14ac:dyDescent="0.25">
      <c r="I107" s="12"/>
    </row>
    <row r="108" spans="9:9" s="7" customFormat="1" x14ac:dyDescent="0.25">
      <c r="I108" s="12"/>
    </row>
    <row r="109" spans="9:9" s="7" customFormat="1" x14ac:dyDescent="0.25">
      <c r="I109" s="12"/>
    </row>
    <row r="110" spans="9:9" s="7" customFormat="1" x14ac:dyDescent="0.25">
      <c r="I110" s="12"/>
    </row>
    <row r="111" spans="9:9" s="7" customFormat="1" x14ac:dyDescent="0.25">
      <c r="I111" s="12"/>
    </row>
    <row r="112" spans="9:9" s="7" customFormat="1" x14ac:dyDescent="0.25">
      <c r="I112" s="12"/>
    </row>
    <row r="113" spans="9:9" s="7" customFormat="1" x14ac:dyDescent="0.25">
      <c r="I113" s="12"/>
    </row>
    <row r="114" spans="9:9" s="7" customFormat="1" x14ac:dyDescent="0.25">
      <c r="I114" s="12"/>
    </row>
    <row r="115" spans="9:9" s="7" customFormat="1" x14ac:dyDescent="0.25">
      <c r="I115" s="12"/>
    </row>
    <row r="116" spans="9:9" s="7" customFormat="1" x14ac:dyDescent="0.25">
      <c r="I116" s="12"/>
    </row>
    <row r="117" spans="9:9" s="7" customFormat="1" x14ac:dyDescent="0.25">
      <c r="I117" s="12"/>
    </row>
    <row r="118" spans="9:9" s="7" customFormat="1" x14ac:dyDescent="0.25">
      <c r="I118" s="12"/>
    </row>
    <row r="119" spans="9:9" s="7" customFormat="1" x14ac:dyDescent="0.25">
      <c r="I119" s="12"/>
    </row>
    <row r="120" spans="9:9" s="7" customFormat="1" x14ac:dyDescent="0.25">
      <c r="I120" s="12"/>
    </row>
    <row r="121" spans="9:9" s="7" customFormat="1" x14ac:dyDescent="0.25">
      <c r="I121" s="12"/>
    </row>
    <row r="122" spans="9:9" s="7" customFormat="1" x14ac:dyDescent="0.25">
      <c r="I122" s="12"/>
    </row>
    <row r="123" spans="9:9" s="7" customFormat="1" x14ac:dyDescent="0.25">
      <c r="I123" s="12"/>
    </row>
    <row r="124" spans="9:9" s="7" customFormat="1" x14ac:dyDescent="0.25">
      <c r="I124" s="12"/>
    </row>
    <row r="125" spans="9:9" s="7" customFormat="1" x14ac:dyDescent="0.25">
      <c r="I125" s="12"/>
    </row>
    <row r="126" spans="9:9" s="7" customFormat="1" x14ac:dyDescent="0.25">
      <c r="I126" s="12"/>
    </row>
    <row r="127" spans="9:9" s="7" customFormat="1" x14ac:dyDescent="0.25">
      <c r="I127" s="12"/>
    </row>
    <row r="128" spans="9:9" s="7" customFormat="1" x14ac:dyDescent="0.25">
      <c r="I128" s="12"/>
    </row>
    <row r="129" spans="9:9" s="7" customFormat="1" x14ac:dyDescent="0.25">
      <c r="I129" s="12"/>
    </row>
    <row r="130" spans="9:9" s="7" customFormat="1" x14ac:dyDescent="0.25">
      <c r="I130" s="12"/>
    </row>
    <row r="131" spans="9:9" s="7" customFormat="1" x14ac:dyDescent="0.25">
      <c r="I131" s="12"/>
    </row>
    <row r="132" spans="9:9" s="7" customFormat="1" x14ac:dyDescent="0.25">
      <c r="I132" s="12"/>
    </row>
    <row r="133" spans="9:9" s="7" customFormat="1" x14ac:dyDescent="0.25">
      <c r="I133" s="12"/>
    </row>
    <row r="134" spans="9:9" s="7" customFormat="1" x14ac:dyDescent="0.25">
      <c r="I134" s="12"/>
    </row>
    <row r="135" spans="9:9" s="7" customFormat="1" x14ac:dyDescent="0.25">
      <c r="I135" s="12"/>
    </row>
    <row r="136" spans="9:9" s="7" customFormat="1" x14ac:dyDescent="0.25">
      <c r="I136" s="12"/>
    </row>
    <row r="137" spans="9:9" s="7" customFormat="1" x14ac:dyDescent="0.25">
      <c r="I137" s="12"/>
    </row>
    <row r="138" spans="9:9" s="7" customFormat="1" x14ac:dyDescent="0.25">
      <c r="I138" s="12"/>
    </row>
    <row r="139" spans="9:9" s="7" customFormat="1" x14ac:dyDescent="0.25">
      <c r="I139" s="12"/>
    </row>
    <row r="140" spans="9:9" s="7" customFormat="1" x14ac:dyDescent="0.25">
      <c r="I140" s="12"/>
    </row>
    <row r="141" spans="9:9" s="7" customFormat="1" x14ac:dyDescent="0.25">
      <c r="I141" s="12"/>
    </row>
    <row r="142" spans="9:9" s="7" customFormat="1" x14ac:dyDescent="0.25">
      <c r="I142" s="12"/>
    </row>
    <row r="143" spans="9:9" s="7" customFormat="1" x14ac:dyDescent="0.25">
      <c r="I143" s="12"/>
    </row>
    <row r="144" spans="9:9" s="7" customFormat="1" x14ac:dyDescent="0.25">
      <c r="I144" s="12"/>
    </row>
    <row r="145" spans="9:9" s="7" customFormat="1" x14ac:dyDescent="0.25">
      <c r="I145" s="12"/>
    </row>
    <row r="146" spans="9:9" s="7" customFormat="1" x14ac:dyDescent="0.25">
      <c r="I146" s="12"/>
    </row>
    <row r="147" spans="9:9" s="7" customFormat="1" x14ac:dyDescent="0.25">
      <c r="I147" s="12"/>
    </row>
    <row r="148" spans="9:9" s="7" customFormat="1" x14ac:dyDescent="0.25">
      <c r="I148" s="12"/>
    </row>
    <row r="149" spans="9:9" s="7" customFormat="1" x14ac:dyDescent="0.25">
      <c r="I149" s="12"/>
    </row>
    <row r="150" spans="9:9" s="7" customFormat="1" x14ac:dyDescent="0.25">
      <c r="I150" s="12"/>
    </row>
    <row r="151" spans="9:9" s="7" customFormat="1" x14ac:dyDescent="0.25">
      <c r="I151" s="12"/>
    </row>
    <row r="152" spans="9:9" s="7" customFormat="1" x14ac:dyDescent="0.25">
      <c r="I152" s="12"/>
    </row>
    <row r="153" spans="9:9" s="7" customFormat="1" x14ac:dyDescent="0.25">
      <c r="I153" s="12"/>
    </row>
    <row r="154" spans="9:9" s="7" customFormat="1" x14ac:dyDescent="0.25">
      <c r="I154" s="12"/>
    </row>
    <row r="155" spans="9:9" s="7" customFormat="1" x14ac:dyDescent="0.25">
      <c r="I155" s="12"/>
    </row>
    <row r="156" spans="9:9" s="7" customFormat="1" x14ac:dyDescent="0.25">
      <c r="I156" s="12"/>
    </row>
    <row r="157" spans="9:9" s="7" customFormat="1" x14ac:dyDescent="0.25">
      <c r="I157" s="12"/>
    </row>
    <row r="158" spans="9:9" s="7" customFormat="1" x14ac:dyDescent="0.25">
      <c r="I158" s="12"/>
    </row>
    <row r="159" spans="9:9" s="7" customFormat="1" x14ac:dyDescent="0.25">
      <c r="I159" s="12"/>
    </row>
    <row r="160" spans="9:9" s="7" customFormat="1" x14ac:dyDescent="0.25">
      <c r="I160" s="12"/>
    </row>
    <row r="161" spans="9:9" s="7" customFormat="1" x14ac:dyDescent="0.25">
      <c r="I161" s="12"/>
    </row>
    <row r="162" spans="9:9" s="7" customFormat="1" x14ac:dyDescent="0.25">
      <c r="I162" s="12"/>
    </row>
    <row r="163" spans="9:9" s="7" customFormat="1" x14ac:dyDescent="0.25">
      <c r="I163" s="12"/>
    </row>
    <row r="164" spans="9:9" s="7" customFormat="1" x14ac:dyDescent="0.25">
      <c r="I164" s="12"/>
    </row>
    <row r="165" spans="9:9" s="7" customFormat="1" x14ac:dyDescent="0.25">
      <c r="I165" s="12"/>
    </row>
    <row r="166" spans="9:9" s="7" customFormat="1" x14ac:dyDescent="0.25">
      <c r="I166" s="12"/>
    </row>
    <row r="167" spans="9:9" s="7" customFormat="1" x14ac:dyDescent="0.25">
      <c r="I167" s="12"/>
    </row>
    <row r="168" spans="9:9" s="7" customFormat="1" x14ac:dyDescent="0.25">
      <c r="I168" s="12"/>
    </row>
    <row r="169" spans="9:9" s="7" customFormat="1" x14ac:dyDescent="0.25">
      <c r="I169" s="12"/>
    </row>
    <row r="170" spans="9:9" s="7" customFormat="1" x14ac:dyDescent="0.25">
      <c r="I170" s="12"/>
    </row>
    <row r="171" spans="9:9" s="7" customFormat="1" x14ac:dyDescent="0.25">
      <c r="I171" s="12"/>
    </row>
    <row r="172" spans="9:9" s="7" customFormat="1" x14ac:dyDescent="0.25">
      <c r="I172" s="12"/>
    </row>
    <row r="173" spans="9:9" s="7" customFormat="1" x14ac:dyDescent="0.25">
      <c r="I173" s="12"/>
    </row>
    <row r="174" spans="9:9" s="7" customFormat="1" x14ac:dyDescent="0.25">
      <c r="I174" s="12"/>
    </row>
    <row r="175" spans="9:9" s="7" customFormat="1" x14ac:dyDescent="0.25">
      <c r="I175" s="12"/>
    </row>
    <row r="176" spans="9:9" s="7" customFormat="1" x14ac:dyDescent="0.25">
      <c r="I176" s="12"/>
    </row>
    <row r="177" spans="9:9" s="7" customFormat="1" x14ac:dyDescent="0.25">
      <c r="I177" s="12"/>
    </row>
    <row r="178" spans="9:9" s="7" customFormat="1" x14ac:dyDescent="0.25">
      <c r="I178" s="12"/>
    </row>
    <row r="179" spans="9:9" s="7" customFormat="1" x14ac:dyDescent="0.25">
      <c r="I179" s="12"/>
    </row>
    <row r="180" spans="9:9" s="7" customFormat="1" x14ac:dyDescent="0.25">
      <c r="I180" s="12"/>
    </row>
    <row r="181" spans="9:9" s="7" customFormat="1" x14ac:dyDescent="0.25">
      <c r="I181" s="12"/>
    </row>
    <row r="182" spans="9:9" s="7" customFormat="1" x14ac:dyDescent="0.25">
      <c r="I182" s="12"/>
    </row>
    <row r="183" spans="9:9" s="7" customFormat="1" x14ac:dyDescent="0.25">
      <c r="I183" s="12"/>
    </row>
    <row r="184" spans="9:9" s="7" customFormat="1" x14ac:dyDescent="0.25">
      <c r="I184" s="12"/>
    </row>
    <row r="185" spans="9:9" s="7" customFormat="1" x14ac:dyDescent="0.25">
      <c r="I185" s="12"/>
    </row>
    <row r="186" spans="9:9" s="7" customFormat="1" x14ac:dyDescent="0.25">
      <c r="I186" s="12"/>
    </row>
    <row r="187" spans="9:9" s="7" customFormat="1" x14ac:dyDescent="0.25">
      <c r="I187" s="12"/>
    </row>
    <row r="188" spans="9:9" s="7" customFormat="1" x14ac:dyDescent="0.25">
      <c r="I188" s="12"/>
    </row>
    <row r="189" spans="9:9" s="7" customFormat="1" x14ac:dyDescent="0.25">
      <c r="I189" s="12"/>
    </row>
    <row r="190" spans="9:9" s="7" customFormat="1" x14ac:dyDescent="0.25">
      <c r="I190" s="12"/>
    </row>
    <row r="191" spans="9:9" s="7" customFormat="1" x14ac:dyDescent="0.25">
      <c r="I191" s="12"/>
    </row>
    <row r="192" spans="9:9" s="7" customFormat="1" x14ac:dyDescent="0.25">
      <c r="I192" s="12"/>
    </row>
    <row r="193" spans="9:9" s="7" customFormat="1" x14ac:dyDescent="0.25">
      <c r="I193" s="12"/>
    </row>
    <row r="194" spans="9:9" s="7" customFormat="1" x14ac:dyDescent="0.25">
      <c r="I194" s="12"/>
    </row>
    <row r="195" spans="9:9" s="7" customFormat="1" x14ac:dyDescent="0.25">
      <c r="I195" s="12"/>
    </row>
    <row r="196" spans="9:9" s="7" customFormat="1" x14ac:dyDescent="0.25">
      <c r="I196" s="12"/>
    </row>
    <row r="197" spans="9:9" s="7" customFormat="1" x14ac:dyDescent="0.25">
      <c r="I197" s="12"/>
    </row>
    <row r="198" spans="9:9" s="7" customFormat="1" x14ac:dyDescent="0.25">
      <c r="I198" s="12"/>
    </row>
    <row r="199" spans="9:9" s="7" customFormat="1" x14ac:dyDescent="0.25">
      <c r="I199" s="12"/>
    </row>
    <row r="200" spans="9:9" s="7" customFormat="1" x14ac:dyDescent="0.25">
      <c r="I200" s="12"/>
    </row>
    <row r="201" spans="9:9" s="7" customFormat="1" x14ac:dyDescent="0.25">
      <c r="I201" s="12"/>
    </row>
    <row r="202" spans="9:9" s="7" customFormat="1" x14ac:dyDescent="0.25">
      <c r="I202" s="12"/>
    </row>
    <row r="203" spans="9:9" s="7" customFormat="1" x14ac:dyDescent="0.25">
      <c r="I203" s="12"/>
    </row>
    <row r="204" spans="9:9" s="7" customFormat="1" x14ac:dyDescent="0.25">
      <c r="I204" s="12"/>
    </row>
    <row r="205" spans="9:9" s="7" customFormat="1" x14ac:dyDescent="0.25">
      <c r="I205" s="12"/>
    </row>
    <row r="206" spans="9:9" s="7" customFormat="1" x14ac:dyDescent="0.25">
      <c r="I206" s="12"/>
    </row>
    <row r="207" spans="9:9" s="7" customFormat="1" x14ac:dyDescent="0.25">
      <c r="I207" s="12"/>
    </row>
    <row r="208" spans="9:9" s="7" customFormat="1" x14ac:dyDescent="0.25">
      <c r="I208" s="12"/>
    </row>
    <row r="209" spans="9:9" s="7" customFormat="1" x14ac:dyDescent="0.25">
      <c r="I209" s="12"/>
    </row>
    <row r="210" spans="9:9" s="7" customFormat="1" x14ac:dyDescent="0.25">
      <c r="I210" s="12"/>
    </row>
    <row r="211" spans="9:9" s="7" customFormat="1" x14ac:dyDescent="0.25">
      <c r="I211" s="12"/>
    </row>
    <row r="212" spans="9:9" s="7" customFormat="1" x14ac:dyDescent="0.25">
      <c r="I212" s="12"/>
    </row>
    <row r="213" spans="9:9" s="7" customFormat="1" x14ac:dyDescent="0.25">
      <c r="I213" s="12"/>
    </row>
    <row r="214" spans="9:9" s="7" customFormat="1" x14ac:dyDescent="0.25">
      <c r="I214" s="12"/>
    </row>
    <row r="215" spans="9:9" s="7" customFormat="1" x14ac:dyDescent="0.25">
      <c r="I215" s="12"/>
    </row>
    <row r="216" spans="9:9" s="7" customFormat="1" x14ac:dyDescent="0.25">
      <c r="I216" s="12"/>
    </row>
    <row r="217" spans="9:9" s="7" customFormat="1" x14ac:dyDescent="0.25">
      <c r="I217" s="12"/>
    </row>
    <row r="218" spans="9:9" s="7" customFormat="1" x14ac:dyDescent="0.25">
      <c r="I218" s="12"/>
    </row>
  </sheetData>
  <sheetProtection algorithmName="SHA-512" hashValue="0pRzTT7BcBkmq719jYGATD1LiKYAvfiJjG+Msx/Z4o2BMbDEPX09EzWPCmvT7+Lg4BTsJLIng00KfXFFrFxnqQ==" saltValue="SADiM75YPNHzbxN43Bad+w==" spinCount="100000" sheet="1" objects="1" scenarios="1" selectLockedCells="1" selectUnlockedCells="1"/>
  <mergeCells count="36">
    <mergeCell ref="C2:H2"/>
    <mergeCell ref="C9:H9"/>
    <mergeCell ref="C29:H29"/>
    <mergeCell ref="C20:H20"/>
    <mergeCell ref="C3:H3"/>
    <mergeCell ref="C4:H4"/>
    <mergeCell ref="C21:H21"/>
    <mergeCell ref="C18:G18"/>
    <mergeCell ref="C11:G11"/>
    <mergeCell ref="C22:G22"/>
    <mergeCell ref="C23:G23"/>
    <mergeCell ref="C24:G24"/>
    <mergeCell ref="C25:G25"/>
    <mergeCell ref="C6:G6"/>
    <mergeCell ref="C7:G7"/>
    <mergeCell ref="C16:G16"/>
    <mergeCell ref="C17:G17"/>
    <mergeCell ref="C5:G5"/>
    <mergeCell ref="C10:G10"/>
    <mergeCell ref="I12:I18"/>
    <mergeCell ref="C38:H38"/>
    <mergeCell ref="C12:G12"/>
    <mergeCell ref="C13:G13"/>
    <mergeCell ref="C14:G14"/>
    <mergeCell ref="C36:H36"/>
    <mergeCell ref="C37:H37"/>
    <mergeCell ref="C26:G26"/>
    <mergeCell ref="I22:I26"/>
    <mergeCell ref="C15:G15"/>
    <mergeCell ref="C27:G27"/>
    <mergeCell ref="C30:G30"/>
    <mergeCell ref="A31:A33"/>
    <mergeCell ref="B31:B33"/>
    <mergeCell ref="C33:G33"/>
    <mergeCell ref="C31:G31"/>
    <mergeCell ref="C32:G32"/>
  </mergeCells>
  <phoneticPr fontId="3" type="noConversion"/>
  <conditionalFormatting sqref="H6:H7">
    <cfRule type="expression" dxfId="14" priority="7">
      <formula>$H$5=TRUE</formula>
    </cfRule>
  </conditionalFormatting>
  <conditionalFormatting sqref="H12:H16">
    <cfRule type="expression" dxfId="13" priority="6">
      <formula>$H$10=TRUE</formula>
    </cfRule>
  </conditionalFormatting>
  <conditionalFormatting sqref="H18">
    <cfRule type="expression" dxfId="12" priority="5">
      <formula>$H$10=TRUE</formula>
    </cfRule>
  </conditionalFormatting>
  <conditionalFormatting sqref="H31:H32">
    <cfRule type="expression" dxfId="11" priority="4">
      <formula>$H$30=TRUE</formula>
    </cfRule>
  </conditionalFormatting>
  <conditionalFormatting sqref="I6:I7">
    <cfRule type="expression" dxfId="10" priority="3">
      <formula>$I6=template_label_missing_value</formula>
    </cfRule>
    <cfRule type="expression" dxfId="9" priority="25">
      <formula>$I6=template_label_ok</formula>
    </cfRule>
  </conditionalFormatting>
  <conditionalFormatting sqref="I12:I18">
    <cfRule type="expression" dxfId="8" priority="1">
      <formula>$I$12=template_label_missing_value</formula>
    </cfRule>
    <cfRule type="expression" dxfId="7" priority="11">
      <formula>$I$12=template_label_value_inconsistency</formula>
    </cfRule>
    <cfRule type="expression" dxfId="6" priority="12">
      <formula>$I$12=template_label_ok</formula>
    </cfRule>
  </conditionalFormatting>
  <conditionalFormatting sqref="I22">
    <cfRule type="expression" dxfId="5" priority="8">
      <formula>$I$22=template_label_ok</formula>
    </cfRule>
    <cfRule type="expression" dxfId="4" priority="9">
      <formula>$I$22=template_label_missing_value</formula>
    </cfRule>
  </conditionalFormatting>
  <conditionalFormatting sqref="I27">
    <cfRule type="expression" dxfId="3" priority="18">
      <formula>$I$27="OK"</formula>
    </cfRule>
  </conditionalFormatting>
  <conditionalFormatting sqref="I30:I32">
    <cfRule type="expression" dxfId="2" priority="17">
      <formula>$I30=template_label_ok</formula>
    </cfRule>
  </conditionalFormatting>
  <conditionalFormatting sqref="I31:I32">
    <cfRule type="expression" dxfId="1" priority="2">
      <formula>$I31=template_label_missing_value</formula>
    </cfRule>
  </conditionalFormatting>
  <conditionalFormatting sqref="I38">
    <cfRule type="expression" dxfId="0" priority="10">
      <formula>$I$38=template_label_ok</formula>
    </cfRule>
  </conditionalFormatting>
  <dataValidations count="11">
    <dataValidation type="decimal" operator="equal" allowBlank="1" showInputMessage="1" showErrorMessage="1" sqref="H7" xr:uid="{6F872197-207D-42B9-A398-224136E9C3BE}">
      <formula1>H7</formula1>
    </dataValidation>
    <dataValidation type="whole" operator="equal" allowBlank="1" showInputMessage="1" showErrorMessage="1" sqref="H6 H31:H32" xr:uid="{BDA32504-9D53-471A-AB25-BD511E13155A}">
      <formula1>H6</formula1>
    </dataValidation>
    <dataValidation type="custom" showInputMessage="1" showErrorMessage="1" sqref="H24" xr:uid="{6855C78C-CF3E-4396-8813-563BA331F905}">
      <formula1>IF(H26=TRUE, FALSE, TRUE)</formula1>
    </dataValidation>
    <dataValidation type="custom" allowBlank="1" showInputMessage="1" showErrorMessage="1" sqref="H25" xr:uid="{5D8F047D-379E-481F-9B48-E72E8A36EBA3}">
      <formula1>IF(H26=TRUE, FALSE, TRUE)</formula1>
    </dataValidation>
    <dataValidation allowBlank="1" showInputMessage="1" showErrorMessage="1" promptTitle="Board gender diversity ratio" prompt="number of female board members / number of male board members" sqref="C33:G33" xr:uid="{13819AD4-B21A-4575-89EF-B9AD3B7EB561}"/>
    <dataValidation type="custom" showInputMessage="1" showErrorMessage="1" sqref="H22" xr:uid="{F98804C1-5D5A-4769-AD2B-312152F69373}">
      <formula1>IF(H26=TRUE, FALSE, TRUE)</formula1>
    </dataValidation>
    <dataValidation type="custom" showInputMessage="1" showErrorMessage="1" sqref="H26" xr:uid="{3DB3CBF6-ED39-4573-8FD1-8B9BD249A779}">
      <formula1>IF(OR(H22=TRUE, H23=TRUE, H24=TRUE, H25=TRUE), H26=FALSE, TRUE)</formula1>
    </dataValidation>
    <dataValidation type="custom" showInputMessage="1" showErrorMessage="1" sqref="H23" xr:uid="{98C61BCE-755A-47DC-814B-18797D932240}">
      <formula1>IF(H26=TRUE, FALSE, TRUE)</formula1>
    </dataValidation>
    <dataValidation type="custom" showInputMessage="1" showErrorMessage="1" sqref="H11" xr:uid="{8A01336C-2998-40B9-9A10-C1CACA56A005}">
      <formula1>IF(H16=TRUE, FALSE, TRUE)</formula1>
    </dataValidation>
    <dataValidation type="custom" showInputMessage="1" showErrorMessage="1" sqref="H5 H10 H30" xr:uid="{5251F65C-302B-430B-9A74-3504B0782C15}">
      <formula1>OR(H5=TRUE,H5=FALSE)</formula1>
    </dataValidation>
    <dataValidation type="custom" allowBlank="1" showInputMessage="1" showErrorMessage="1" sqref="H33" xr:uid="{E5944E2C-49E3-4DA6-B2BA-149B494EA43B}">
      <formula1>IF(AND(H31&lt;&gt;"",H32&lt;&gt;""),IF(OR(H31=0,H32=0),0,H31/H32),"-")</formula1>
    </dataValidation>
  </dataValidations>
  <hyperlinks>
    <hyperlink ref="B31" r:id="rId1" location="id-430" display="242-244" xr:uid="{DD9DFEB0-008E-4085-9C4C-4E4071AF9EDD}"/>
    <hyperlink ref="C4" r:id="rId2" location="id-390" display="206-209" xr:uid="{9E36270B-F82E-4DBC-85F6-FFB6017A5FC6}"/>
    <hyperlink ref="C3" r:id="rId3" location="id-101" display="https://xbrl.efrag.org/e-esrs/2024-12-17-efrag-vsme.xhtml - id-101" xr:uid="{E98F2C39-CB33-456F-AE8F-63B2283FA058}"/>
    <hyperlink ref="A12" r:id="rId4" xr:uid="{0657DA08-490E-4BA8-8E5A-A36584CC3868}"/>
    <hyperlink ref="A13" r:id="rId5" xr:uid="{34F4B8AF-2DEE-4167-9575-E492545D940D}"/>
    <hyperlink ref="A14" r:id="rId6" xr:uid="{541F1F99-604B-4056-85A4-099A07C87266}"/>
    <hyperlink ref="A18" r:id="rId7" xr:uid="{4AC2196A-CAEA-4FA3-9EE0-453860A4DD24}"/>
    <hyperlink ref="A31" r:id="rId8" location="id-157" display="https://xbrl.efrag.org/e-esrs/2024-12-17-efrag-vsme.xhtml - id-157" xr:uid="{AB8591A9-7AF3-4FBD-9554-A2D0FD1D20C3}"/>
    <hyperlink ref="B27" r:id="rId9" display="https://xbrl.efrag.org/eng/interactive/vsme/vsme-guidance-annex-ii/2025-07-30-ec-rec/177/d" xr:uid="{B64DA43C-EDC4-4406-A04F-550966F14887}"/>
    <hyperlink ref="B22" r:id="rId10" xr:uid="{E5160077-4F36-4BD8-86FA-2A762B90A522}"/>
    <hyperlink ref="B23" r:id="rId11" xr:uid="{0E47DDD5-A5AE-41A4-AD9E-E64EED2C77D7}"/>
    <hyperlink ref="B24" r:id="rId12" xr:uid="{B18FB860-026E-41ED-B82E-7CB596B0F07E}"/>
    <hyperlink ref="B25" r:id="rId13" xr:uid="{A3D72F7C-F915-4130-AEEB-2CB05E19F60B}"/>
    <hyperlink ref="C37" r:id="rId14" location="id-30" display="https://xbrl.efrag.org/e-esrs/2024-12-17-efrag-vsme.xhtml - id-30" xr:uid="{99043B26-ADF0-4E30-AC4D-749B87744438}"/>
    <hyperlink ref="B12" r:id="rId15" xr:uid="{C547DB8C-D923-4FC7-B0DA-200463B84266}"/>
    <hyperlink ref="C3:H3" r:id="rId16" display="https://xbrl.efrag.org/eng/interactive/vsme/vsme-standard-annex-i/2025-07-30-ec-rec/43" xr:uid="{8E69E904-2158-45DA-8E87-545567ADAFB8}"/>
    <hyperlink ref="A22" r:id="rId17" display="https://xbrl.efrag.org/eng/interactive/vsme/vsme-standard-annex-i/2025-07-30-ec-rec/64" xr:uid="{5CC0C52C-701F-4C24-AACA-7DB3E2B7C53F}"/>
    <hyperlink ref="A27" r:id="rId18" display="https://knowledgehub.efrag.org/eng/interactive/vsme/vsme-standard-annex-i/08-2025/64" xr:uid="{724278DE-6E8B-4360-AAB9-2ED66C951948}"/>
    <hyperlink ref="A31:A33" r:id="rId19" display="https://xbrl.efrag.org/eng/interactive/vsme/vsme-standard-annex-i/2025-07-30-ec-rec/65" xr:uid="{9070A05F-DC67-4659-81DD-132C9C2BA611}"/>
    <hyperlink ref="C37:H37" r:id="rId20" display="https://xbrl.efrag.org/eng/interactive/vsme/vsme-standard-annex-i/2025-07-30-ec-rec/10" xr:uid="{BD96F830-5D6E-4EF6-9EAF-E4DAA73B73F5}"/>
    <hyperlink ref="C4:H4" r:id="rId21" display="141-144" xr:uid="{6FFA3630-37AF-4071-B63B-404038FAC63F}"/>
    <hyperlink ref="B31:B33" r:id="rId22" display="178-180" xr:uid="{89CF752E-5362-4309-9A24-AD8C8789890E}"/>
    <hyperlink ref="A15" r:id="rId23" xr:uid="{073C81B9-1885-48FA-9E75-28880E61B0A9}"/>
    <hyperlink ref="A16" r:id="rId24" xr:uid="{1B936E07-80D2-47D5-9091-AB194A562D4D}"/>
    <hyperlink ref="A17" r:id="rId25" xr:uid="{B69C0BC5-A56C-4B02-9921-C53A808E764B}"/>
    <hyperlink ref="A23" r:id="rId26" display="https://xbrl.efrag.org/eng/interactive/vsme/vsme-standard-annex-i/2025-07-30-ec-rec/64" xr:uid="{C4AC7567-B964-4726-8BFF-AEA5BB03CAB3}"/>
    <hyperlink ref="A24" r:id="rId27" display="https://xbrl.efrag.org/eng/interactive/vsme/vsme-standard-annex-i/2025-07-30-ec-rec/64" xr:uid="{FFEBF35D-5B17-42E8-A73D-1F26F1CED663}"/>
    <hyperlink ref="A25" r:id="rId28" display="https://xbrl.efrag.org/eng/interactive/vsme/vsme-standard-annex-i/2025-07-30-ec-rec/64" xr:uid="{67C796DF-1FD2-47BD-B258-0FD093CD5FBF}"/>
    <hyperlink ref="B18" r:id="rId29" xr:uid="{D4451976-2969-48FF-9E0B-D9A0A9835D74}"/>
    <hyperlink ref="B13" r:id="rId30" xr:uid="{48F51859-290F-45BF-A7FE-422787BE7549}"/>
    <hyperlink ref="B14" r:id="rId31" xr:uid="{12167B16-5419-427A-893E-04779325209E}"/>
    <hyperlink ref="B15" r:id="rId32" xr:uid="{CE1F8DFF-BEB6-4D39-8747-A4B16A9BB309}"/>
    <hyperlink ref="B16" r:id="rId33" xr:uid="{0F02BE95-5B98-48E2-82DA-BBFCFCDE6839}"/>
    <hyperlink ref="B17" r:id="rId34" xr:uid="{C1E3A1CF-806D-43F5-A9B9-54080D190D44}"/>
  </hyperlinks>
  <pageMargins left="0.7" right="0.7" top="0.75" bottom="0.75" header="0.3" footer="0.3"/>
  <drawing r:id="rId35"/>
  <extLst>
    <ext xmlns:x14="http://schemas.microsoft.com/office/spreadsheetml/2009/9/main" uri="{78C0D931-6437-407d-A8EE-F0AAD7539E65}">
      <x14:conditionalFormattings>
        <x14:conditionalFormatting xmlns:xm="http://schemas.microsoft.com/office/excel/2006/main">
          <x14:cfRule type="iconSet" priority="16" id="{3E49E481-2568-46BD-8EBE-FE7713E3A7A2}">
            <x14:iconSet iconSet="3Symbols" custom="1">
              <x14:cfvo type="percent">
                <xm:f>0</xm:f>
              </x14:cfvo>
              <x14:cfvo type="formula">
                <xm:f>$H$22=FALSE</xm:f>
              </x14:cfvo>
              <x14:cfvo type="formula">
                <xm:f>$H$22=TRUE</xm:f>
              </x14:cfvo>
              <x14:cfIcon iconSet="3Symbols" iconId="0"/>
              <x14:cfIcon iconSet="3Symbols" iconId="0"/>
              <x14:cfIcon iconSet="3Symbols" iconId="2"/>
            </x14:iconSet>
          </x14:cfRule>
          <xm:sqref>I22</xm:sqref>
        </x14:conditionalFormatting>
      </x14:conditionalFormattings>
    </ext>
    <ext xmlns:x14="http://schemas.microsoft.com/office/spreadsheetml/2009/9/main" uri="{CCE6A557-97BC-4b89-ADB6-D9C93CAAB3DF}">
      <x14:dataValidations xmlns:xm="http://schemas.microsoft.com/office/excel/2006/main" count="2">
        <x14:dataValidation type="custom" showInputMessage="1" showErrorMessage="1" xr:uid="{B00077E6-D227-4F5B-A4C9-0C9DBAF0147A}">
          <x14:formula1>
            <xm:f>($H$12+$H$13+$H$14+$H$18)&lt;='General Information'!$E$61</xm:f>
          </x14:formula1>
          <xm:sqref>H17</xm:sqref>
        </x14:dataValidation>
        <x14:dataValidation type="custom" showInputMessage="1" showErrorMessage="1" xr:uid="{F6328591-2F0B-4688-A58B-FE2019B26C27}">
          <x14:formula1>
            <xm:f>($H$12+$H$13+$H$14+$H$15+$H$16+$H$18)&lt;='General Information'!$E$61</xm:f>
          </x14:formula1>
          <xm:sqref>H18 H12:H16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21D2C-71B4-4480-A729-841BC5CAD8C5}">
  <dimension ref="A1:A21"/>
  <sheetViews>
    <sheetView workbookViewId="0">
      <selection activeCell="B14" sqref="B14"/>
    </sheetView>
  </sheetViews>
  <sheetFormatPr baseColWidth="10" defaultColWidth="8.85546875" defaultRowHeight="15" x14ac:dyDescent="0.25"/>
  <cols>
    <col min="1" max="1" width="78.42578125" style="7" customWidth="1"/>
    <col min="2" max="16384" width="8.85546875" style="7"/>
  </cols>
  <sheetData>
    <row r="1" spans="1:1" x14ac:dyDescent="0.25">
      <c r="A1" s="178" t="s">
        <v>198</v>
      </c>
    </row>
    <row r="2" spans="1:1" x14ac:dyDescent="0.25">
      <c r="A2" s="179"/>
    </row>
    <row r="3" spans="1:1" x14ac:dyDescent="0.25">
      <c r="A3" s="179" t="s">
        <v>199</v>
      </c>
    </row>
    <row r="4" spans="1:1" x14ac:dyDescent="0.25">
      <c r="A4" s="179"/>
    </row>
    <row r="5" spans="1:1" x14ac:dyDescent="0.25">
      <c r="A5" s="179" t="s">
        <v>200</v>
      </c>
    </row>
    <row r="6" spans="1:1" x14ac:dyDescent="0.25">
      <c r="A6" s="179" t="s">
        <v>201</v>
      </c>
    </row>
    <row r="7" spans="1:1" x14ac:dyDescent="0.25">
      <c r="A7" s="179" t="s">
        <v>202</v>
      </c>
    </row>
    <row r="8" spans="1:1" x14ac:dyDescent="0.25">
      <c r="A8" s="179" t="s">
        <v>203</v>
      </c>
    </row>
    <row r="9" spans="1:1" x14ac:dyDescent="0.25">
      <c r="A9" s="179" t="s">
        <v>204</v>
      </c>
    </row>
    <row r="10" spans="1:1" x14ac:dyDescent="0.25">
      <c r="A10" s="179" t="s">
        <v>205</v>
      </c>
    </row>
    <row r="11" spans="1:1" x14ac:dyDescent="0.25">
      <c r="A11" s="179"/>
    </row>
    <row r="12" spans="1:1" x14ac:dyDescent="0.25">
      <c r="A12" s="179" t="s">
        <v>206</v>
      </c>
    </row>
    <row r="13" spans="1:1" x14ac:dyDescent="0.25">
      <c r="A13" s="179" t="s">
        <v>207</v>
      </c>
    </row>
    <row r="14" spans="1:1" x14ac:dyDescent="0.25">
      <c r="A14" s="179"/>
    </row>
    <row r="15" spans="1:1" x14ac:dyDescent="0.25">
      <c r="A15" s="179" t="s">
        <v>208</v>
      </c>
    </row>
    <row r="16" spans="1:1" x14ac:dyDescent="0.25">
      <c r="A16" s="179" t="s">
        <v>209</v>
      </c>
    </row>
    <row r="17" spans="1:1" x14ac:dyDescent="0.25">
      <c r="A17" s="179" t="s">
        <v>210</v>
      </c>
    </row>
    <row r="18" spans="1:1" x14ac:dyDescent="0.25">
      <c r="A18" s="179" t="s">
        <v>211</v>
      </c>
    </row>
    <row r="19" spans="1:1" x14ac:dyDescent="0.25">
      <c r="A19" s="179" t="s">
        <v>212</v>
      </c>
    </row>
    <row r="20" spans="1:1" x14ac:dyDescent="0.25">
      <c r="A20" s="179" t="s">
        <v>213</v>
      </c>
    </row>
    <row r="21" spans="1:1" ht="15.75" thickBot="1" x14ac:dyDescent="0.3">
      <c r="A21" s="180" t="s">
        <v>214</v>
      </c>
    </row>
  </sheetData>
  <sheetProtection algorithmName="SHA-512" hashValue="LoAKVlf9diJB/QNruzWaVcICp3jnEeFu6qJEoe/H+dxs3Msw/2WR8edqZUcnfDVQyLse58LJkWiEEp4T2rjxWg==" saltValue="2SWeszqMuA+/Um/BLdeC3A==" spinCount="100000" sheet="1" objects="1" scenarios="1" selectLockedCells="1" selectUnlockedCell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7FC05-FF15-4F3B-A168-94BA93CE0D77}">
  <sheetPr codeName="Sheet9"/>
  <dimension ref="A1:AD1049"/>
  <sheetViews>
    <sheetView topLeftCell="A170" zoomScaleNormal="100" workbookViewId="0">
      <selection activeCell="A192" sqref="A192"/>
    </sheetView>
  </sheetViews>
  <sheetFormatPr baseColWidth="10" defaultColWidth="8.85546875" defaultRowHeight="15" x14ac:dyDescent="0.25"/>
  <cols>
    <col min="1" max="1" width="94.140625" customWidth="1"/>
    <col min="2" max="2" width="38.5703125" bestFit="1" customWidth="1"/>
    <col min="3" max="4" width="150.42578125" bestFit="1" customWidth="1"/>
    <col min="5" max="5" width="49.5703125" bestFit="1" customWidth="1"/>
    <col min="6" max="6" width="21.42578125" bestFit="1" customWidth="1"/>
    <col min="7" max="7" width="21.42578125" customWidth="1"/>
    <col min="8" max="8" width="92" bestFit="1" customWidth="1"/>
    <col min="9" max="9" width="49.42578125" bestFit="1" customWidth="1"/>
    <col min="10" max="10" width="44.42578125" customWidth="1"/>
    <col min="11" max="11" width="99.5703125" customWidth="1"/>
    <col min="12" max="12" width="48.42578125" bestFit="1" customWidth="1"/>
    <col min="13" max="13" width="20.42578125" bestFit="1" customWidth="1"/>
    <col min="14" max="14" width="18" bestFit="1" customWidth="1"/>
    <col min="15" max="15" width="30.5703125" bestFit="1" customWidth="1"/>
    <col min="16" max="16" width="26.5703125" bestFit="1" customWidth="1"/>
    <col min="17" max="17" width="10.5703125" customWidth="1"/>
    <col min="18" max="18" width="13.42578125" bestFit="1" customWidth="1"/>
    <col min="20" max="20" width="9.5703125" bestFit="1" customWidth="1"/>
    <col min="21" max="21" width="43.42578125" bestFit="1" customWidth="1"/>
    <col min="22" max="22" width="92" bestFit="1" customWidth="1"/>
    <col min="23" max="23" width="12.5703125" bestFit="1" customWidth="1"/>
    <col min="25" max="25" width="31.42578125" customWidth="1"/>
    <col min="26" max="26" width="255.42578125" bestFit="1" customWidth="1"/>
    <col min="27" max="27" width="17.42578125" customWidth="1"/>
    <col min="28" max="28" width="28.5703125" customWidth="1"/>
    <col min="29" max="29" width="23.42578125" customWidth="1"/>
    <col min="30" max="30" width="17.5703125" customWidth="1"/>
  </cols>
  <sheetData>
    <row r="1" spans="1:30" ht="75" x14ac:dyDescent="0.25">
      <c r="A1" s="225" t="s">
        <v>215</v>
      </c>
      <c r="B1" s="226" t="s">
        <v>216</v>
      </c>
      <c r="C1" s="226" t="s">
        <v>217</v>
      </c>
      <c r="D1" s="226" t="s">
        <v>218</v>
      </c>
      <c r="E1" s="4" t="s">
        <v>219</v>
      </c>
      <c r="F1" s="4" t="s">
        <v>220</v>
      </c>
      <c r="G1" s="4" t="s">
        <v>221</v>
      </c>
      <c r="H1" s="4" t="s">
        <v>222</v>
      </c>
      <c r="I1" s="217" t="s">
        <v>223</v>
      </c>
      <c r="J1" s="217" t="s">
        <v>224</v>
      </c>
      <c r="K1" s="217" t="s">
        <v>225</v>
      </c>
      <c r="L1" s="4" t="s">
        <v>226</v>
      </c>
      <c r="M1" s="4" t="s">
        <v>194</v>
      </c>
      <c r="N1" s="4" t="s">
        <v>227</v>
      </c>
      <c r="O1" s="4" t="s">
        <v>228</v>
      </c>
      <c r="P1" s="4" t="s">
        <v>229</v>
      </c>
      <c r="Q1" s="217" t="s">
        <v>230</v>
      </c>
      <c r="R1" s="4" t="s">
        <v>231</v>
      </c>
      <c r="S1" s="4" t="s">
        <v>232</v>
      </c>
      <c r="T1" s="4" t="s">
        <v>233</v>
      </c>
      <c r="U1" s="4" t="s">
        <v>234</v>
      </c>
      <c r="V1" s="4" t="s">
        <v>235</v>
      </c>
      <c r="W1" s="4" t="s">
        <v>236</v>
      </c>
      <c r="X1" s="4" t="s">
        <v>233</v>
      </c>
      <c r="Y1" s="227" t="s">
        <v>237</v>
      </c>
      <c r="Z1" s="228" t="s">
        <v>238</v>
      </c>
      <c r="AA1" s="227" t="s">
        <v>239</v>
      </c>
      <c r="AB1" s="229" t="s">
        <v>240</v>
      </c>
      <c r="AC1" s="8" t="s">
        <v>241</v>
      </c>
      <c r="AD1" s="8" t="s">
        <v>242</v>
      </c>
    </row>
    <row r="2" spans="1:30" ht="30" x14ac:dyDescent="0.25">
      <c r="A2" s="230" t="s">
        <v>243</v>
      </c>
      <c r="B2" t="s">
        <v>244</v>
      </c>
      <c r="C2" s="231" t="s">
        <v>245</v>
      </c>
      <c r="D2" t="str">
        <f t="shared" ref="D2:D65" si="0">_xlfn.CONCAT("NACE ", A2)</f>
        <v>NACE All Economic Activities (NACE) / NA [member]</v>
      </c>
      <c r="E2" s="232" t="s">
        <v>246</v>
      </c>
      <c r="F2" t="s">
        <v>247</v>
      </c>
      <c r="G2" t="str">
        <f>RIGHT(F2,2)</f>
        <v>AD</v>
      </c>
      <c r="H2" t="s">
        <v>14</v>
      </c>
      <c r="I2" t="s">
        <v>248</v>
      </c>
      <c r="J2" t="s">
        <v>249</v>
      </c>
      <c r="K2" t="s">
        <v>250</v>
      </c>
      <c r="L2" t="s">
        <v>18</v>
      </c>
      <c r="M2" t="s">
        <v>145</v>
      </c>
      <c r="N2" t="s">
        <v>251</v>
      </c>
      <c r="O2" t="s">
        <v>252</v>
      </c>
      <c r="P2" t="s">
        <v>253</v>
      </c>
      <c r="Q2" t="s">
        <v>127</v>
      </c>
      <c r="R2" t="s">
        <v>254</v>
      </c>
      <c r="S2">
        <v>2000</v>
      </c>
      <c r="T2">
        <v>1</v>
      </c>
      <c r="U2" t="s">
        <v>255</v>
      </c>
      <c r="V2" t="s">
        <v>256</v>
      </c>
      <c r="W2" s="233">
        <v>1</v>
      </c>
      <c r="X2" t="s">
        <v>257</v>
      </c>
      <c r="Y2" t="s">
        <v>145</v>
      </c>
      <c r="Z2" s="18" t="s">
        <v>258</v>
      </c>
      <c r="AA2" t="s">
        <v>259</v>
      </c>
      <c r="AB2" s="1" t="s">
        <v>27</v>
      </c>
      <c r="AC2">
        <v>1</v>
      </c>
      <c r="AD2" t="s">
        <v>260</v>
      </c>
    </row>
    <row r="3" spans="1:30" ht="30" x14ac:dyDescent="0.25">
      <c r="A3" s="232" t="s">
        <v>261</v>
      </c>
      <c r="B3" t="s">
        <v>262</v>
      </c>
      <c r="C3" s="234" t="s">
        <v>263</v>
      </c>
      <c r="D3" s="232" t="str">
        <f t="shared" si="0"/>
        <v>NACE A - AGRICULTURE, FORESTRY AND FISHING</v>
      </c>
      <c r="E3" s="232" t="s">
        <v>264</v>
      </c>
      <c r="F3" t="s">
        <v>265</v>
      </c>
      <c r="G3" t="str">
        <f t="shared" ref="G3:G66" si="1">RIGHT(F3,2)</f>
        <v>AE</v>
      </c>
      <c r="H3" t="s">
        <v>256</v>
      </c>
      <c r="I3" t="s">
        <v>266</v>
      </c>
      <c r="J3" t="s">
        <v>267</v>
      </c>
      <c r="K3" t="s">
        <v>268</v>
      </c>
      <c r="L3" t="s">
        <v>269</v>
      </c>
      <c r="M3" t="s">
        <v>132</v>
      </c>
      <c r="N3" t="s">
        <v>270</v>
      </c>
      <c r="O3" t="s">
        <v>271</v>
      </c>
      <c r="P3" t="s">
        <v>272</v>
      </c>
      <c r="Q3" t="s">
        <v>176</v>
      </c>
      <c r="R3" t="s">
        <v>273</v>
      </c>
      <c r="S3">
        <v>2001</v>
      </c>
      <c r="T3">
        <v>2</v>
      </c>
      <c r="U3" t="s">
        <v>120</v>
      </c>
      <c r="V3" t="s">
        <v>274</v>
      </c>
      <c r="W3" s="233">
        <v>2</v>
      </c>
      <c r="X3" t="s">
        <v>275</v>
      </c>
      <c r="Y3" t="s">
        <v>132</v>
      </c>
      <c r="Z3" t="s">
        <v>276</v>
      </c>
      <c r="AA3" t="s">
        <v>277</v>
      </c>
      <c r="AB3" s="1" t="s">
        <v>278</v>
      </c>
      <c r="AC3">
        <v>2</v>
      </c>
      <c r="AD3" t="s">
        <v>279</v>
      </c>
    </row>
    <row r="4" spans="1:30" x14ac:dyDescent="0.25">
      <c r="A4" s="231" t="s">
        <v>280</v>
      </c>
      <c r="B4" t="s">
        <v>281</v>
      </c>
      <c r="C4" s="234" t="s">
        <v>282</v>
      </c>
      <c r="D4" s="231" t="str">
        <f t="shared" si="0"/>
        <v>NACE A - 01 Crop and animal production, hunting and related service activities</v>
      </c>
      <c r="E4" s="232" t="s">
        <v>283</v>
      </c>
      <c r="F4" t="s">
        <v>284</v>
      </c>
      <c r="G4" t="str">
        <f t="shared" si="1"/>
        <v>AF</v>
      </c>
      <c r="H4" t="s">
        <v>274</v>
      </c>
      <c r="I4" t="s">
        <v>285</v>
      </c>
      <c r="K4" t="s">
        <v>286</v>
      </c>
      <c r="L4" t="s">
        <v>287</v>
      </c>
      <c r="M4" t="s">
        <v>288</v>
      </c>
      <c r="N4" t="s">
        <v>289</v>
      </c>
      <c r="O4" t="s">
        <v>290</v>
      </c>
      <c r="R4" t="s">
        <v>291</v>
      </c>
      <c r="S4">
        <v>2002</v>
      </c>
      <c r="T4">
        <v>3</v>
      </c>
      <c r="V4" t="s">
        <v>292</v>
      </c>
      <c r="W4" s="233">
        <v>3</v>
      </c>
      <c r="X4" t="s">
        <v>293</v>
      </c>
      <c r="Z4" t="s">
        <v>294</v>
      </c>
      <c r="AA4" t="s">
        <v>295</v>
      </c>
      <c r="AC4">
        <v>3</v>
      </c>
      <c r="AD4" t="s">
        <v>6</v>
      </c>
    </row>
    <row r="5" spans="1:30" x14ac:dyDescent="0.25">
      <c r="A5" s="234" t="s">
        <v>296</v>
      </c>
      <c r="B5" t="s">
        <v>297</v>
      </c>
      <c r="C5" s="234" t="s">
        <v>298</v>
      </c>
      <c r="D5" s="234" t="str">
        <f t="shared" si="0"/>
        <v>NACE A - 01.1 Growing of non-perennial crops</v>
      </c>
      <c r="E5" s="232" t="s">
        <v>299</v>
      </c>
      <c r="F5" t="s">
        <v>300</v>
      </c>
      <c r="G5" t="str">
        <f t="shared" si="1"/>
        <v>AG</v>
      </c>
      <c r="H5" t="s">
        <v>292</v>
      </c>
      <c r="I5" t="s">
        <v>301</v>
      </c>
      <c r="K5" t="s">
        <v>302</v>
      </c>
      <c r="L5" t="s">
        <v>303</v>
      </c>
      <c r="O5" t="s">
        <v>304</v>
      </c>
      <c r="S5">
        <v>2003</v>
      </c>
      <c r="T5">
        <v>4</v>
      </c>
      <c r="V5" t="s">
        <v>305</v>
      </c>
      <c r="W5" s="233">
        <v>4</v>
      </c>
      <c r="X5" t="s">
        <v>306</v>
      </c>
      <c r="Z5" t="s">
        <v>307</v>
      </c>
      <c r="AA5" t="s">
        <v>308</v>
      </c>
      <c r="AC5">
        <v>4</v>
      </c>
      <c r="AD5" t="s">
        <v>309</v>
      </c>
    </row>
    <row r="6" spans="1:30" x14ac:dyDescent="0.25">
      <c r="A6" s="235" t="s">
        <v>310</v>
      </c>
      <c r="B6" t="s">
        <v>311</v>
      </c>
      <c r="C6" s="234" t="s">
        <v>312</v>
      </c>
      <c r="D6" s="235" t="str">
        <f t="shared" si="0"/>
        <v>NACE A - 01.11 Growing of cereals, other than rice, leguminous crops and oil seeds</v>
      </c>
      <c r="E6" s="232" t="s">
        <v>313</v>
      </c>
      <c r="F6" t="s">
        <v>314</v>
      </c>
      <c r="G6" t="str">
        <f t="shared" si="1"/>
        <v>AI</v>
      </c>
      <c r="H6" t="s">
        <v>305</v>
      </c>
      <c r="I6" t="s">
        <v>315</v>
      </c>
      <c r="K6" t="s">
        <v>316</v>
      </c>
      <c r="L6" t="s">
        <v>317</v>
      </c>
      <c r="O6" t="s">
        <v>318</v>
      </c>
      <c r="S6">
        <v>2004</v>
      </c>
      <c r="T6">
        <v>5</v>
      </c>
      <c r="V6" t="s">
        <v>319</v>
      </c>
      <c r="W6" s="233">
        <v>5</v>
      </c>
      <c r="X6" t="s">
        <v>320</v>
      </c>
      <c r="Z6" t="s">
        <v>321</v>
      </c>
      <c r="AA6" t="s">
        <v>322</v>
      </c>
      <c r="AC6">
        <v>5</v>
      </c>
    </row>
    <row r="7" spans="1:30" x14ac:dyDescent="0.25">
      <c r="A7" s="235" t="s">
        <v>323</v>
      </c>
      <c r="B7" t="s">
        <v>324</v>
      </c>
      <c r="C7" s="234" t="s">
        <v>325</v>
      </c>
      <c r="D7" s="235" t="str">
        <f t="shared" si="0"/>
        <v>NACE A - 01.12 Growing of rice</v>
      </c>
      <c r="E7" s="232" t="s">
        <v>326</v>
      </c>
      <c r="F7" t="s">
        <v>327</v>
      </c>
      <c r="G7" t="str">
        <f t="shared" si="1"/>
        <v>AL</v>
      </c>
      <c r="H7" t="s">
        <v>319</v>
      </c>
      <c r="I7" t="s">
        <v>328</v>
      </c>
      <c r="K7" t="s">
        <v>329</v>
      </c>
      <c r="O7" t="s">
        <v>330</v>
      </c>
      <c r="S7">
        <v>2005</v>
      </c>
      <c r="T7">
        <v>6</v>
      </c>
      <c r="V7" t="s">
        <v>331</v>
      </c>
      <c r="W7" s="233">
        <v>6</v>
      </c>
      <c r="X7" t="s">
        <v>332</v>
      </c>
      <c r="Z7" t="s">
        <v>333</v>
      </c>
      <c r="AA7" t="s">
        <v>334</v>
      </c>
      <c r="AC7">
        <v>6</v>
      </c>
    </row>
    <row r="8" spans="1:30" x14ac:dyDescent="0.25">
      <c r="A8" s="235" t="s">
        <v>335</v>
      </c>
      <c r="B8" t="s">
        <v>336</v>
      </c>
      <c r="C8" s="234" t="s">
        <v>337</v>
      </c>
      <c r="D8" s="235" t="str">
        <f t="shared" si="0"/>
        <v>NACE A - 01.13 Growing of vegetables and melons, roots and tubers</v>
      </c>
      <c r="E8" s="232" t="s">
        <v>338</v>
      </c>
      <c r="F8" t="s">
        <v>339</v>
      </c>
      <c r="G8" t="str">
        <f t="shared" si="1"/>
        <v>AM</v>
      </c>
      <c r="H8" t="s">
        <v>331</v>
      </c>
      <c r="I8" t="s">
        <v>340</v>
      </c>
      <c r="K8" t="s">
        <v>341</v>
      </c>
      <c r="O8" t="s">
        <v>342</v>
      </c>
      <c r="S8">
        <v>2006</v>
      </c>
      <c r="T8">
        <v>7</v>
      </c>
      <c r="V8" t="s">
        <v>343</v>
      </c>
      <c r="W8" s="233">
        <v>7</v>
      </c>
      <c r="X8" t="s">
        <v>344</v>
      </c>
      <c r="Z8" t="s">
        <v>345</v>
      </c>
      <c r="AA8" t="s">
        <v>346</v>
      </c>
      <c r="AC8">
        <v>7</v>
      </c>
    </row>
    <row r="9" spans="1:30" x14ac:dyDescent="0.25">
      <c r="A9" s="235" t="s">
        <v>347</v>
      </c>
      <c r="B9" t="s">
        <v>348</v>
      </c>
      <c r="C9" s="234" t="s">
        <v>349</v>
      </c>
      <c r="D9" s="235" t="str">
        <f t="shared" si="0"/>
        <v>NACE A - 01.14 Growing of sugar cane</v>
      </c>
      <c r="E9" s="232" t="s">
        <v>350</v>
      </c>
      <c r="F9" t="s">
        <v>351</v>
      </c>
      <c r="G9" t="str">
        <f t="shared" si="1"/>
        <v>AN</v>
      </c>
      <c r="H9" t="s">
        <v>343</v>
      </c>
      <c r="I9" t="s">
        <v>352</v>
      </c>
      <c r="K9" t="s">
        <v>353</v>
      </c>
      <c r="O9" t="s">
        <v>354</v>
      </c>
      <c r="S9">
        <v>2007</v>
      </c>
      <c r="T9">
        <v>8</v>
      </c>
      <c r="V9" t="s">
        <v>355</v>
      </c>
      <c r="W9" s="233">
        <v>8</v>
      </c>
      <c r="X9" t="s">
        <v>356</v>
      </c>
      <c r="Z9" t="s">
        <v>357</v>
      </c>
      <c r="AA9" t="s">
        <v>358</v>
      </c>
      <c r="AC9">
        <v>8</v>
      </c>
    </row>
    <row r="10" spans="1:30" x14ac:dyDescent="0.25">
      <c r="A10" s="235" t="s">
        <v>359</v>
      </c>
      <c r="B10" t="s">
        <v>360</v>
      </c>
      <c r="C10" s="231" t="s">
        <v>361</v>
      </c>
      <c r="D10" s="235" t="str">
        <f t="shared" si="0"/>
        <v>NACE A - 01.15 Growing of tobacco</v>
      </c>
      <c r="E10" s="232" t="s">
        <v>362</v>
      </c>
      <c r="F10" t="s">
        <v>363</v>
      </c>
      <c r="G10" t="str">
        <f t="shared" si="1"/>
        <v>AO</v>
      </c>
      <c r="H10" t="s">
        <v>355</v>
      </c>
      <c r="I10" t="s">
        <v>364</v>
      </c>
      <c r="K10" t="s">
        <v>365</v>
      </c>
      <c r="O10" t="s">
        <v>366</v>
      </c>
      <c r="S10">
        <v>2008</v>
      </c>
      <c r="T10">
        <v>9</v>
      </c>
      <c r="V10" t="s">
        <v>367</v>
      </c>
      <c r="W10" s="233">
        <v>9</v>
      </c>
      <c r="X10" t="s">
        <v>368</v>
      </c>
      <c r="Z10" t="s">
        <v>369</v>
      </c>
      <c r="AA10" t="s">
        <v>370</v>
      </c>
      <c r="AC10">
        <v>9</v>
      </c>
    </row>
    <row r="11" spans="1:30" x14ac:dyDescent="0.25">
      <c r="A11" s="235" t="s">
        <v>371</v>
      </c>
      <c r="B11" t="s">
        <v>372</v>
      </c>
      <c r="C11" s="234" t="s">
        <v>373</v>
      </c>
      <c r="D11" s="235" t="str">
        <f t="shared" si="0"/>
        <v>NACE A - 01.16 Growing of fibre crops</v>
      </c>
      <c r="E11" s="232" t="s">
        <v>374</v>
      </c>
      <c r="F11" t="s">
        <v>375</v>
      </c>
      <c r="G11" t="str">
        <f t="shared" si="1"/>
        <v>AQ</v>
      </c>
      <c r="H11" t="s">
        <v>367</v>
      </c>
      <c r="I11" t="s">
        <v>376</v>
      </c>
      <c r="K11" t="s">
        <v>377</v>
      </c>
      <c r="O11" t="s">
        <v>378</v>
      </c>
      <c r="S11">
        <v>2009</v>
      </c>
      <c r="T11">
        <v>10</v>
      </c>
      <c r="V11" t="s">
        <v>379</v>
      </c>
      <c r="W11" s="233">
        <v>10</v>
      </c>
      <c r="X11" t="s">
        <v>380</v>
      </c>
      <c r="Z11" t="s">
        <v>381</v>
      </c>
      <c r="AA11" t="s">
        <v>382</v>
      </c>
      <c r="AC11">
        <v>10</v>
      </c>
    </row>
    <row r="12" spans="1:30" x14ac:dyDescent="0.25">
      <c r="A12" s="235" t="s">
        <v>383</v>
      </c>
      <c r="B12" t="s">
        <v>384</v>
      </c>
      <c r="C12" s="234" t="s">
        <v>385</v>
      </c>
      <c r="D12" s="235" t="str">
        <f t="shared" si="0"/>
        <v>NACE A - 01.19 Growing of other non-perennial crops</v>
      </c>
      <c r="E12" s="232" t="s">
        <v>386</v>
      </c>
      <c r="F12" t="s">
        <v>387</v>
      </c>
      <c r="G12" t="str">
        <f t="shared" si="1"/>
        <v>AR</v>
      </c>
      <c r="H12" t="s">
        <v>379</v>
      </c>
      <c r="I12" t="s">
        <v>388</v>
      </c>
      <c r="K12" t="s">
        <v>389</v>
      </c>
      <c r="O12" t="s">
        <v>149</v>
      </c>
      <c r="S12">
        <v>2010</v>
      </c>
      <c r="T12">
        <v>11</v>
      </c>
      <c r="V12" t="s">
        <v>390</v>
      </c>
      <c r="W12" s="233">
        <v>11</v>
      </c>
      <c r="X12" t="s">
        <v>391</v>
      </c>
      <c r="Z12" t="s">
        <v>392</v>
      </c>
      <c r="AA12" t="s">
        <v>393</v>
      </c>
      <c r="AC12">
        <v>11</v>
      </c>
    </row>
    <row r="13" spans="1:30" x14ac:dyDescent="0.25">
      <c r="A13" s="234" t="s">
        <v>394</v>
      </c>
      <c r="B13" t="s">
        <v>395</v>
      </c>
      <c r="C13" s="234" t="s">
        <v>396</v>
      </c>
      <c r="D13" s="234" t="str">
        <f t="shared" si="0"/>
        <v>NACE A - 01.2 Growing of perennial crops</v>
      </c>
      <c r="E13" s="232" t="s">
        <v>397</v>
      </c>
      <c r="F13" t="s">
        <v>398</v>
      </c>
      <c r="G13" t="str">
        <f t="shared" si="1"/>
        <v>AS</v>
      </c>
      <c r="H13" t="s">
        <v>390</v>
      </c>
      <c r="I13" t="s">
        <v>399</v>
      </c>
      <c r="K13" t="s">
        <v>400</v>
      </c>
      <c r="S13">
        <v>2011</v>
      </c>
      <c r="T13">
        <v>12</v>
      </c>
      <c r="V13" t="s">
        <v>401</v>
      </c>
      <c r="W13" s="233">
        <v>12</v>
      </c>
      <c r="X13" t="s">
        <v>402</v>
      </c>
      <c r="Z13" t="s">
        <v>403</v>
      </c>
      <c r="AA13" t="s">
        <v>404</v>
      </c>
      <c r="AC13">
        <v>12</v>
      </c>
    </row>
    <row r="14" spans="1:30" x14ac:dyDescent="0.25">
      <c r="A14" s="235" t="s">
        <v>405</v>
      </c>
      <c r="B14" t="s">
        <v>406</v>
      </c>
      <c r="C14" s="234" t="s">
        <v>407</v>
      </c>
      <c r="D14" s="235" t="str">
        <f t="shared" si="0"/>
        <v>NACE A - 01.21 Growing of grapes</v>
      </c>
      <c r="E14" s="232" t="s">
        <v>159</v>
      </c>
      <c r="F14" t="s">
        <v>408</v>
      </c>
      <c r="G14" t="str">
        <f t="shared" si="1"/>
        <v>AT</v>
      </c>
      <c r="H14" t="s">
        <v>401</v>
      </c>
      <c r="I14" t="s">
        <v>409</v>
      </c>
      <c r="K14" t="s">
        <v>410</v>
      </c>
      <c r="S14">
        <v>2012</v>
      </c>
      <c r="V14" t="s">
        <v>411</v>
      </c>
      <c r="Z14" t="s">
        <v>412</v>
      </c>
      <c r="AA14" t="s">
        <v>413</v>
      </c>
      <c r="AC14">
        <v>13</v>
      </c>
    </row>
    <row r="15" spans="1:30" x14ac:dyDescent="0.25">
      <c r="A15" s="235" t="s">
        <v>414</v>
      </c>
      <c r="B15" t="s">
        <v>415</v>
      </c>
      <c r="C15" s="231" t="s">
        <v>416</v>
      </c>
      <c r="D15" s="235" t="str">
        <f t="shared" si="0"/>
        <v>NACE A - 01.22 Growing of tropical and subtropical fruits</v>
      </c>
      <c r="E15" s="232" t="s">
        <v>417</v>
      </c>
      <c r="F15" t="s">
        <v>418</v>
      </c>
      <c r="G15" t="str">
        <f t="shared" si="1"/>
        <v>AU</v>
      </c>
      <c r="H15" t="s">
        <v>411</v>
      </c>
      <c r="I15" t="s">
        <v>419</v>
      </c>
      <c r="K15" t="s">
        <v>420</v>
      </c>
      <c r="S15">
        <v>2013</v>
      </c>
      <c r="V15" t="s">
        <v>421</v>
      </c>
      <c r="Z15" t="s">
        <v>422</v>
      </c>
      <c r="AA15" t="s">
        <v>423</v>
      </c>
      <c r="AC15">
        <v>14</v>
      </c>
    </row>
    <row r="16" spans="1:30" x14ac:dyDescent="0.25">
      <c r="A16" s="235" t="s">
        <v>424</v>
      </c>
      <c r="B16" t="s">
        <v>425</v>
      </c>
      <c r="C16" s="234" t="s">
        <v>426</v>
      </c>
      <c r="D16" s="235" t="str">
        <f t="shared" si="0"/>
        <v>NACE A - 01.23 Growing of citrus fruits</v>
      </c>
      <c r="E16" s="232" t="s">
        <v>427</v>
      </c>
      <c r="F16" t="s">
        <v>428</v>
      </c>
      <c r="G16" t="str">
        <f t="shared" si="1"/>
        <v>AW</v>
      </c>
      <c r="H16" t="s">
        <v>421</v>
      </c>
      <c r="I16" t="s">
        <v>429</v>
      </c>
      <c r="K16" t="s">
        <v>430</v>
      </c>
      <c r="S16">
        <v>2014</v>
      </c>
      <c r="V16" t="s">
        <v>431</v>
      </c>
      <c r="Z16" t="s">
        <v>432</v>
      </c>
      <c r="AA16" t="s">
        <v>433</v>
      </c>
      <c r="AC16">
        <v>15</v>
      </c>
    </row>
    <row r="17" spans="1:29" x14ac:dyDescent="0.25">
      <c r="A17" s="235" t="s">
        <v>434</v>
      </c>
      <c r="B17" t="s">
        <v>435</v>
      </c>
      <c r="C17" s="234" t="s">
        <v>436</v>
      </c>
      <c r="D17" s="235" t="str">
        <f t="shared" si="0"/>
        <v>NACE A - 01.24 Growing of pome fruits and stone fruits</v>
      </c>
      <c r="E17" s="232" t="s">
        <v>437</v>
      </c>
      <c r="F17" t="s">
        <v>438</v>
      </c>
      <c r="G17" t="str">
        <f t="shared" si="1"/>
        <v>AX</v>
      </c>
      <c r="H17" t="s">
        <v>431</v>
      </c>
      <c r="I17" t="s">
        <v>439</v>
      </c>
      <c r="K17" t="s">
        <v>440</v>
      </c>
      <c r="S17">
        <v>2015</v>
      </c>
      <c r="V17" t="s">
        <v>441</v>
      </c>
      <c r="Z17" t="s">
        <v>442</v>
      </c>
      <c r="AA17" t="s">
        <v>443</v>
      </c>
      <c r="AC17">
        <v>16</v>
      </c>
    </row>
    <row r="18" spans="1:29" x14ac:dyDescent="0.25">
      <c r="A18" s="235" t="s">
        <v>444</v>
      </c>
      <c r="B18" t="s">
        <v>445</v>
      </c>
      <c r="C18" s="234" t="s">
        <v>446</v>
      </c>
      <c r="D18" s="235" t="str">
        <f t="shared" si="0"/>
        <v>NACE A - 01.25 Growing of other tree and bush fruits and nuts</v>
      </c>
      <c r="E18" s="232" t="s">
        <v>447</v>
      </c>
      <c r="F18" t="s">
        <v>448</v>
      </c>
      <c r="G18" t="str">
        <f t="shared" si="1"/>
        <v>AZ</v>
      </c>
      <c r="H18" t="s">
        <v>441</v>
      </c>
      <c r="I18" t="s">
        <v>449</v>
      </c>
      <c r="K18" t="s">
        <v>450</v>
      </c>
      <c r="S18">
        <v>2016</v>
      </c>
      <c r="V18" t="s">
        <v>451</v>
      </c>
      <c r="Z18" t="s">
        <v>452</v>
      </c>
      <c r="AA18" t="s">
        <v>453</v>
      </c>
      <c r="AC18">
        <v>17</v>
      </c>
    </row>
    <row r="19" spans="1:29" x14ac:dyDescent="0.25">
      <c r="A19" s="235" t="s">
        <v>454</v>
      </c>
      <c r="B19" t="s">
        <v>455</v>
      </c>
      <c r="C19" s="232" t="s">
        <v>456</v>
      </c>
      <c r="D19" s="235" t="str">
        <f t="shared" si="0"/>
        <v>NACE A - 01.26 Growing of oleaginous fruits</v>
      </c>
      <c r="E19" s="232" t="s">
        <v>457</v>
      </c>
      <c r="F19" t="s">
        <v>458</v>
      </c>
      <c r="G19" t="str">
        <f t="shared" si="1"/>
        <v>BA</v>
      </c>
      <c r="H19" t="s">
        <v>451</v>
      </c>
      <c r="I19" t="s">
        <v>459</v>
      </c>
      <c r="K19" t="s">
        <v>460</v>
      </c>
      <c r="S19">
        <v>2017</v>
      </c>
      <c r="V19" t="s">
        <v>461</v>
      </c>
      <c r="Z19" t="s">
        <v>462</v>
      </c>
      <c r="AA19" t="s">
        <v>463</v>
      </c>
      <c r="AC19">
        <v>18</v>
      </c>
    </row>
    <row r="20" spans="1:29" x14ac:dyDescent="0.25">
      <c r="A20" s="235" t="s">
        <v>464</v>
      </c>
      <c r="B20" t="s">
        <v>465</v>
      </c>
      <c r="C20" s="231" t="s">
        <v>466</v>
      </c>
      <c r="D20" s="235" t="str">
        <f t="shared" si="0"/>
        <v>NACE A - 01.27 Growing of beverage crops</v>
      </c>
      <c r="E20" s="232" t="s">
        <v>467</v>
      </c>
      <c r="F20" t="s">
        <v>468</v>
      </c>
      <c r="G20" t="str">
        <f t="shared" si="1"/>
        <v>BB</v>
      </c>
      <c r="H20" t="s">
        <v>461</v>
      </c>
      <c r="I20" t="s">
        <v>469</v>
      </c>
      <c r="K20" t="s">
        <v>470</v>
      </c>
      <c r="S20">
        <v>2018</v>
      </c>
      <c r="V20" t="s">
        <v>471</v>
      </c>
      <c r="Z20" t="s">
        <v>472</v>
      </c>
      <c r="AA20" t="s">
        <v>473</v>
      </c>
      <c r="AC20">
        <v>19</v>
      </c>
    </row>
    <row r="21" spans="1:29" x14ac:dyDescent="0.25">
      <c r="A21" s="235" t="s">
        <v>474</v>
      </c>
      <c r="B21" t="s">
        <v>475</v>
      </c>
      <c r="C21" s="231" t="s">
        <v>476</v>
      </c>
      <c r="D21" s="235" t="str">
        <f t="shared" si="0"/>
        <v>NACE A - 01.28 Growing of spices, aromatic, drug and pharmaceutical crops</v>
      </c>
      <c r="E21" s="232" t="s">
        <v>477</v>
      </c>
      <c r="F21" t="s">
        <v>478</v>
      </c>
      <c r="G21" t="str">
        <f t="shared" si="1"/>
        <v>BD</v>
      </c>
      <c r="H21" t="s">
        <v>471</v>
      </c>
      <c r="I21" t="s">
        <v>479</v>
      </c>
      <c r="K21" t="s">
        <v>480</v>
      </c>
      <c r="S21">
        <v>2019</v>
      </c>
      <c r="V21" t="s">
        <v>481</v>
      </c>
      <c r="Z21" t="s">
        <v>482</v>
      </c>
      <c r="AA21" t="s">
        <v>483</v>
      </c>
      <c r="AC21">
        <v>20</v>
      </c>
    </row>
    <row r="22" spans="1:29" x14ac:dyDescent="0.25">
      <c r="A22" s="235" t="s">
        <v>484</v>
      </c>
      <c r="B22" t="s">
        <v>485</v>
      </c>
      <c r="C22" s="234" t="s">
        <v>486</v>
      </c>
      <c r="D22" s="235" t="str">
        <f t="shared" si="0"/>
        <v>NACE A - 01.29 Growing of other perennial crops</v>
      </c>
      <c r="E22" s="232" t="s">
        <v>487</v>
      </c>
      <c r="F22" t="s">
        <v>488</v>
      </c>
      <c r="G22" t="str">
        <f t="shared" si="1"/>
        <v>BE</v>
      </c>
      <c r="H22" t="s">
        <v>481</v>
      </c>
      <c r="I22" t="s">
        <v>489</v>
      </c>
      <c r="K22" t="s">
        <v>490</v>
      </c>
      <c r="S22">
        <v>2020</v>
      </c>
      <c r="V22" s="55"/>
      <c r="Z22" t="s">
        <v>491</v>
      </c>
      <c r="AA22" t="s">
        <v>492</v>
      </c>
      <c r="AC22">
        <v>21</v>
      </c>
    </row>
    <row r="23" spans="1:29" x14ac:dyDescent="0.25">
      <c r="A23" s="234" t="s">
        <v>493</v>
      </c>
      <c r="B23" t="s">
        <v>494</v>
      </c>
      <c r="C23" s="234" t="s">
        <v>495</v>
      </c>
      <c r="D23" s="234" t="str">
        <f t="shared" si="0"/>
        <v>NACE A - 01.3 Plant propagation</v>
      </c>
      <c r="E23" s="232" t="s">
        <v>496</v>
      </c>
      <c r="F23" t="s">
        <v>497</v>
      </c>
      <c r="G23" t="str">
        <f t="shared" si="1"/>
        <v>BF</v>
      </c>
      <c r="H23" s="55"/>
      <c r="I23" t="s">
        <v>498</v>
      </c>
      <c r="K23" t="s">
        <v>499</v>
      </c>
      <c r="S23">
        <v>2021</v>
      </c>
      <c r="V23" s="337"/>
      <c r="Z23" t="s">
        <v>500</v>
      </c>
      <c r="AA23" t="s">
        <v>501</v>
      </c>
      <c r="AC23">
        <v>22</v>
      </c>
    </row>
    <row r="24" spans="1:29" x14ac:dyDescent="0.25">
      <c r="A24" s="235" t="s">
        <v>502</v>
      </c>
      <c r="B24" t="s">
        <v>503</v>
      </c>
      <c r="C24" s="231" t="s">
        <v>504</v>
      </c>
      <c r="D24" s="235" t="str">
        <f t="shared" si="0"/>
        <v>NACE A - 01.30 Plant propagation</v>
      </c>
      <c r="E24" s="232" t="s">
        <v>505</v>
      </c>
      <c r="F24" t="s">
        <v>506</v>
      </c>
      <c r="G24" t="str">
        <f t="shared" si="1"/>
        <v>BG</v>
      </c>
      <c r="H24" s="337"/>
      <c r="I24" t="s">
        <v>507</v>
      </c>
      <c r="K24" t="s">
        <v>508</v>
      </c>
      <c r="S24">
        <v>2022</v>
      </c>
      <c r="V24" s="337"/>
      <c r="Z24" t="s">
        <v>509</v>
      </c>
      <c r="AA24" t="s">
        <v>510</v>
      </c>
      <c r="AC24">
        <v>23</v>
      </c>
    </row>
    <row r="25" spans="1:29" x14ac:dyDescent="0.25">
      <c r="A25" s="234" t="s">
        <v>511</v>
      </c>
      <c r="B25" t="s">
        <v>512</v>
      </c>
      <c r="C25" s="234" t="s">
        <v>513</v>
      </c>
      <c r="D25" s="234" t="str">
        <f t="shared" si="0"/>
        <v>NACE A - 01.4 Animal production</v>
      </c>
      <c r="E25" s="232" t="s">
        <v>514</v>
      </c>
      <c r="F25" t="s">
        <v>515</v>
      </c>
      <c r="G25" t="str">
        <f t="shared" si="1"/>
        <v>BH</v>
      </c>
      <c r="H25" s="337"/>
      <c r="I25" t="s">
        <v>516</v>
      </c>
      <c r="K25" t="s">
        <v>517</v>
      </c>
      <c r="S25">
        <v>2023</v>
      </c>
      <c r="V25" s="337"/>
      <c r="Z25" t="s">
        <v>518</v>
      </c>
      <c r="AA25" t="s">
        <v>519</v>
      </c>
      <c r="AC25">
        <v>24</v>
      </c>
    </row>
    <row r="26" spans="1:29" x14ac:dyDescent="0.25">
      <c r="A26" s="235" t="s">
        <v>520</v>
      </c>
      <c r="B26" t="s">
        <v>521</v>
      </c>
      <c r="C26" s="234" t="s">
        <v>522</v>
      </c>
      <c r="D26" s="235" t="str">
        <f t="shared" si="0"/>
        <v>NACE A - 01.41 Raising of dairy cattle</v>
      </c>
      <c r="E26" s="232" t="s">
        <v>523</v>
      </c>
      <c r="F26" t="s">
        <v>524</v>
      </c>
      <c r="G26" t="str">
        <f t="shared" si="1"/>
        <v>BI</v>
      </c>
      <c r="H26" s="337"/>
      <c r="I26" t="s">
        <v>525</v>
      </c>
      <c r="K26" t="s">
        <v>526</v>
      </c>
      <c r="S26">
        <v>2024</v>
      </c>
      <c r="V26" s="337"/>
      <c r="Z26" t="s">
        <v>527</v>
      </c>
      <c r="AA26" t="s">
        <v>528</v>
      </c>
      <c r="AC26">
        <v>25</v>
      </c>
    </row>
    <row r="27" spans="1:29" x14ac:dyDescent="0.25">
      <c r="A27" s="235" t="s">
        <v>529</v>
      </c>
      <c r="B27" t="s">
        <v>530</v>
      </c>
      <c r="C27" s="231" t="s">
        <v>531</v>
      </c>
      <c r="D27" s="235" t="str">
        <f t="shared" si="0"/>
        <v>NACE A - 01.42 Raising of other cattle and buffaloes</v>
      </c>
      <c r="E27" s="232" t="s">
        <v>532</v>
      </c>
      <c r="F27" t="s">
        <v>533</v>
      </c>
      <c r="G27" t="str">
        <f t="shared" si="1"/>
        <v>BJ</v>
      </c>
      <c r="H27" s="337"/>
      <c r="I27" t="s">
        <v>534</v>
      </c>
      <c r="K27" t="s">
        <v>535</v>
      </c>
      <c r="S27">
        <v>2025</v>
      </c>
      <c r="V27" s="337"/>
      <c r="Z27" t="s">
        <v>536</v>
      </c>
      <c r="AA27" t="s">
        <v>537</v>
      </c>
      <c r="AC27">
        <v>26</v>
      </c>
    </row>
    <row r="28" spans="1:29" x14ac:dyDescent="0.25">
      <c r="A28" s="235" t="s">
        <v>538</v>
      </c>
      <c r="B28" t="s">
        <v>539</v>
      </c>
      <c r="C28" s="234" t="s">
        <v>540</v>
      </c>
      <c r="D28" s="235" t="str">
        <f t="shared" si="0"/>
        <v>NACE A - 01.43 Raising of horses and other equines</v>
      </c>
      <c r="E28" s="232" t="s">
        <v>541</v>
      </c>
      <c r="F28" t="s">
        <v>542</v>
      </c>
      <c r="G28" t="str">
        <f t="shared" si="1"/>
        <v>BL</v>
      </c>
      <c r="H28" s="337"/>
      <c r="I28" t="s">
        <v>543</v>
      </c>
      <c r="K28" t="s">
        <v>544</v>
      </c>
      <c r="S28">
        <v>2026</v>
      </c>
      <c r="V28" s="337"/>
      <c r="Z28" t="s">
        <v>545</v>
      </c>
      <c r="AA28" t="s">
        <v>546</v>
      </c>
      <c r="AC28">
        <v>27</v>
      </c>
    </row>
    <row r="29" spans="1:29" x14ac:dyDescent="0.25">
      <c r="A29" s="235" t="s">
        <v>547</v>
      </c>
      <c r="B29" t="s">
        <v>548</v>
      </c>
      <c r="C29" s="234" t="s">
        <v>549</v>
      </c>
      <c r="D29" s="235" t="str">
        <f t="shared" si="0"/>
        <v>NACE A - 01.44 Raising of camels and camelids</v>
      </c>
      <c r="E29" s="232" t="s">
        <v>550</v>
      </c>
      <c r="F29" t="s">
        <v>551</v>
      </c>
      <c r="G29" t="str">
        <f t="shared" si="1"/>
        <v>BM</v>
      </c>
      <c r="H29" s="337"/>
      <c r="I29" t="s">
        <v>552</v>
      </c>
      <c r="K29" t="s">
        <v>553</v>
      </c>
      <c r="S29">
        <v>2027</v>
      </c>
      <c r="V29" s="55"/>
      <c r="Z29" t="s">
        <v>554</v>
      </c>
      <c r="AA29" t="s">
        <v>555</v>
      </c>
      <c r="AC29">
        <v>28</v>
      </c>
    </row>
    <row r="30" spans="1:29" x14ac:dyDescent="0.25">
      <c r="A30" s="235" t="s">
        <v>556</v>
      </c>
      <c r="B30" t="s">
        <v>557</v>
      </c>
      <c r="C30" s="231" t="s">
        <v>558</v>
      </c>
      <c r="D30" s="235" t="str">
        <f t="shared" si="0"/>
        <v>NACE A - 01.45 Raising of sheep and goats</v>
      </c>
      <c r="E30" s="232" t="s">
        <v>559</v>
      </c>
      <c r="F30" t="s">
        <v>560</v>
      </c>
      <c r="G30" t="str">
        <f t="shared" si="1"/>
        <v>BN</v>
      </c>
      <c r="H30" s="55"/>
      <c r="I30" t="s">
        <v>561</v>
      </c>
      <c r="K30" t="s">
        <v>562</v>
      </c>
      <c r="S30">
        <v>2028</v>
      </c>
      <c r="V30" s="337"/>
      <c r="Z30" t="s">
        <v>563</v>
      </c>
      <c r="AA30" t="s">
        <v>564</v>
      </c>
      <c r="AC30">
        <v>29</v>
      </c>
    </row>
    <row r="31" spans="1:29" x14ac:dyDescent="0.25">
      <c r="A31" s="235" t="s">
        <v>565</v>
      </c>
      <c r="B31" t="s">
        <v>566</v>
      </c>
      <c r="C31" s="234" t="s">
        <v>567</v>
      </c>
      <c r="D31" s="235" t="str">
        <f t="shared" si="0"/>
        <v>NACE A - 01.46 Raising of swine and pigs</v>
      </c>
      <c r="E31" s="232" t="s">
        <v>568</v>
      </c>
      <c r="F31" t="s">
        <v>569</v>
      </c>
      <c r="G31" t="str">
        <f t="shared" si="1"/>
        <v>BO</v>
      </c>
      <c r="H31" s="337"/>
      <c r="I31" t="s">
        <v>570</v>
      </c>
      <c r="K31" t="s">
        <v>571</v>
      </c>
      <c r="S31">
        <v>2029</v>
      </c>
      <c r="V31" s="336"/>
      <c r="Z31" t="s">
        <v>572</v>
      </c>
      <c r="AA31" t="s">
        <v>573</v>
      </c>
      <c r="AC31">
        <v>30</v>
      </c>
    </row>
    <row r="32" spans="1:29" x14ac:dyDescent="0.25">
      <c r="A32" s="235" t="s">
        <v>574</v>
      </c>
      <c r="B32" t="s">
        <v>575</v>
      </c>
      <c r="C32" s="234" t="s">
        <v>576</v>
      </c>
      <c r="D32" s="235" t="str">
        <f t="shared" si="0"/>
        <v>NACE A - 01.47 Raising of poultry</v>
      </c>
      <c r="E32" s="232" t="s">
        <v>577</v>
      </c>
      <c r="F32" t="s">
        <v>578</v>
      </c>
      <c r="G32" t="str">
        <f t="shared" si="1"/>
        <v>BQ</v>
      </c>
      <c r="H32" s="336"/>
      <c r="I32" t="s">
        <v>579</v>
      </c>
      <c r="K32" t="s">
        <v>580</v>
      </c>
      <c r="S32">
        <v>2030</v>
      </c>
      <c r="V32" s="336"/>
      <c r="Z32" t="s">
        <v>581</v>
      </c>
      <c r="AA32" t="s">
        <v>582</v>
      </c>
      <c r="AC32">
        <v>31</v>
      </c>
    </row>
    <row r="33" spans="1:27" x14ac:dyDescent="0.25">
      <c r="A33" s="235" t="s">
        <v>583</v>
      </c>
      <c r="B33" t="s">
        <v>584</v>
      </c>
      <c r="C33" s="234" t="s">
        <v>585</v>
      </c>
      <c r="D33" s="235" t="str">
        <f t="shared" si="0"/>
        <v>NACE A - 01.48 Raising of other animals</v>
      </c>
      <c r="E33" s="232" t="s">
        <v>586</v>
      </c>
      <c r="F33" t="s">
        <v>587</v>
      </c>
      <c r="G33" t="str">
        <f t="shared" si="1"/>
        <v>BR</v>
      </c>
      <c r="H33" s="336"/>
      <c r="I33" t="s">
        <v>588</v>
      </c>
      <c r="K33" t="s">
        <v>589</v>
      </c>
      <c r="S33">
        <v>2031</v>
      </c>
      <c r="V33" s="336"/>
      <c r="Z33" t="s">
        <v>590</v>
      </c>
      <c r="AA33" t="s">
        <v>591</v>
      </c>
    </row>
    <row r="34" spans="1:27" x14ac:dyDescent="0.25">
      <c r="A34" s="234" t="s">
        <v>592</v>
      </c>
      <c r="B34" t="s">
        <v>593</v>
      </c>
      <c r="C34" s="234" t="s">
        <v>594</v>
      </c>
      <c r="D34" s="234" t="str">
        <f t="shared" si="0"/>
        <v>NACE A - 01.5 Mixed farming</v>
      </c>
      <c r="E34" s="232" t="s">
        <v>595</v>
      </c>
      <c r="F34" t="s">
        <v>596</v>
      </c>
      <c r="G34" t="str">
        <f t="shared" si="1"/>
        <v>BS</v>
      </c>
      <c r="H34" s="336"/>
      <c r="I34" t="s">
        <v>597</v>
      </c>
      <c r="K34" t="s">
        <v>598</v>
      </c>
      <c r="S34">
        <v>2032</v>
      </c>
      <c r="V34" s="337"/>
      <c r="Z34" t="s">
        <v>599</v>
      </c>
      <c r="AA34" t="s">
        <v>600</v>
      </c>
    </row>
    <row r="35" spans="1:27" x14ac:dyDescent="0.25">
      <c r="A35" s="235" t="s">
        <v>601</v>
      </c>
      <c r="B35" t="s">
        <v>602</v>
      </c>
      <c r="C35" s="232" t="s">
        <v>603</v>
      </c>
      <c r="D35" s="235" t="str">
        <f t="shared" si="0"/>
        <v>NACE A - 01.50 Mixed farming</v>
      </c>
      <c r="E35" s="232" t="s">
        <v>604</v>
      </c>
      <c r="F35" t="s">
        <v>605</v>
      </c>
      <c r="G35" t="str">
        <f t="shared" si="1"/>
        <v>BT</v>
      </c>
      <c r="H35" s="337"/>
      <c r="I35" t="s">
        <v>606</v>
      </c>
      <c r="K35" t="s">
        <v>607</v>
      </c>
      <c r="S35">
        <v>2033</v>
      </c>
      <c r="V35" s="337"/>
      <c r="Z35" t="s">
        <v>608</v>
      </c>
      <c r="AA35" t="s">
        <v>609</v>
      </c>
    </row>
    <row r="36" spans="1:27" x14ac:dyDescent="0.25">
      <c r="A36" s="234" t="s">
        <v>610</v>
      </c>
      <c r="B36" t="s">
        <v>611</v>
      </c>
      <c r="C36" s="231" t="s">
        <v>612</v>
      </c>
      <c r="D36" s="234" t="str">
        <f t="shared" si="0"/>
        <v>NACE A - 01.6 Support activities to agriculture and post-harvest crop activities</v>
      </c>
      <c r="E36" s="232" t="s">
        <v>613</v>
      </c>
      <c r="F36" t="s">
        <v>614</v>
      </c>
      <c r="G36" t="str">
        <f t="shared" si="1"/>
        <v>BU</v>
      </c>
      <c r="H36" s="337"/>
      <c r="I36" t="s">
        <v>615</v>
      </c>
      <c r="K36" t="s">
        <v>616</v>
      </c>
      <c r="S36">
        <v>2034</v>
      </c>
      <c r="V36" s="337"/>
      <c r="Z36" t="s">
        <v>617</v>
      </c>
      <c r="AA36" t="s">
        <v>618</v>
      </c>
    </row>
    <row r="37" spans="1:27" x14ac:dyDescent="0.25">
      <c r="A37" s="235" t="s">
        <v>619</v>
      </c>
      <c r="B37" t="s">
        <v>620</v>
      </c>
      <c r="C37" s="234" t="s">
        <v>621</v>
      </c>
      <c r="D37" s="235" t="str">
        <f t="shared" si="0"/>
        <v>NACE A - 01.61 Support activities for crop production</v>
      </c>
      <c r="E37" s="232" t="s">
        <v>622</v>
      </c>
      <c r="F37" t="s">
        <v>623</v>
      </c>
      <c r="G37" t="str">
        <f t="shared" si="1"/>
        <v>BV</v>
      </c>
      <c r="H37" s="337"/>
      <c r="I37" t="s">
        <v>624</v>
      </c>
      <c r="K37" t="s">
        <v>625</v>
      </c>
      <c r="S37">
        <v>2035</v>
      </c>
      <c r="V37" s="337"/>
      <c r="Z37" t="s">
        <v>626</v>
      </c>
      <c r="AA37" t="s">
        <v>627</v>
      </c>
    </row>
    <row r="38" spans="1:27" x14ac:dyDescent="0.25">
      <c r="A38" s="235" t="s">
        <v>628</v>
      </c>
      <c r="B38" t="s">
        <v>629</v>
      </c>
      <c r="C38" s="234" t="s">
        <v>630</v>
      </c>
      <c r="D38" s="235" t="str">
        <f t="shared" si="0"/>
        <v>NACE A - 01.62 Support activities for animal production</v>
      </c>
      <c r="E38" s="232" t="s">
        <v>631</v>
      </c>
      <c r="F38" t="s">
        <v>632</v>
      </c>
      <c r="G38" t="str">
        <f t="shared" si="1"/>
        <v>BW</v>
      </c>
      <c r="H38" s="337"/>
      <c r="I38" t="s">
        <v>633</v>
      </c>
      <c r="K38" t="s">
        <v>634</v>
      </c>
      <c r="S38">
        <v>2036</v>
      </c>
      <c r="V38" s="337"/>
      <c r="Z38" t="s">
        <v>635</v>
      </c>
      <c r="AA38" t="s">
        <v>636</v>
      </c>
    </row>
    <row r="39" spans="1:27" x14ac:dyDescent="0.25">
      <c r="A39" s="235" t="s">
        <v>637</v>
      </c>
      <c r="B39" t="s">
        <v>638</v>
      </c>
      <c r="C39" s="234" t="s">
        <v>639</v>
      </c>
      <c r="D39" s="235" t="str">
        <f t="shared" si="0"/>
        <v>NACE A - 01.63 Post-harvest crop activities and seed processing for propagation</v>
      </c>
      <c r="E39" s="232" t="s">
        <v>640</v>
      </c>
      <c r="F39" t="s">
        <v>641</v>
      </c>
      <c r="G39" t="str">
        <f t="shared" si="1"/>
        <v>BY</v>
      </c>
      <c r="H39" s="337"/>
      <c r="I39" t="s">
        <v>642</v>
      </c>
      <c r="K39" t="s">
        <v>643</v>
      </c>
      <c r="S39">
        <v>2037</v>
      </c>
      <c r="V39" s="337"/>
      <c r="Z39" t="s">
        <v>644</v>
      </c>
      <c r="AA39" t="s">
        <v>645</v>
      </c>
    </row>
    <row r="40" spans="1:27" x14ac:dyDescent="0.25">
      <c r="A40" s="234" t="s">
        <v>646</v>
      </c>
      <c r="B40" t="s">
        <v>647</v>
      </c>
      <c r="C40" s="234" t="s">
        <v>648</v>
      </c>
      <c r="D40" s="234" t="str">
        <f t="shared" si="0"/>
        <v>NACE A - 01.7 Hunting, trapping and related service activities</v>
      </c>
      <c r="E40" s="232" t="s">
        <v>649</v>
      </c>
      <c r="F40" t="s">
        <v>650</v>
      </c>
      <c r="G40" t="str">
        <f t="shared" si="1"/>
        <v>BZ</v>
      </c>
      <c r="H40" s="337"/>
      <c r="I40" t="s">
        <v>651</v>
      </c>
      <c r="K40" t="s">
        <v>652</v>
      </c>
      <c r="S40">
        <v>2038</v>
      </c>
      <c r="V40" s="337"/>
      <c r="Z40" t="s">
        <v>653</v>
      </c>
      <c r="AA40" t="s">
        <v>654</v>
      </c>
    </row>
    <row r="41" spans="1:27" x14ac:dyDescent="0.25">
      <c r="A41" s="235" t="s">
        <v>655</v>
      </c>
      <c r="B41" t="s">
        <v>656</v>
      </c>
      <c r="C41" s="234" t="s">
        <v>657</v>
      </c>
      <c r="D41" s="235" t="str">
        <f t="shared" si="0"/>
        <v>NACE A - 01.70 Hunting, trapping and related service activities</v>
      </c>
      <c r="E41" s="232" t="s">
        <v>658</v>
      </c>
      <c r="F41" t="s">
        <v>659</v>
      </c>
      <c r="G41" t="str">
        <f t="shared" si="1"/>
        <v>CA</v>
      </c>
      <c r="H41" s="337"/>
      <c r="I41" t="s">
        <v>660</v>
      </c>
      <c r="K41" t="s">
        <v>661</v>
      </c>
      <c r="S41">
        <v>2039</v>
      </c>
      <c r="V41" s="337"/>
      <c r="Z41" t="s">
        <v>662</v>
      </c>
      <c r="AA41" t="s">
        <v>663</v>
      </c>
    </row>
    <row r="42" spans="1:27" x14ac:dyDescent="0.25">
      <c r="A42" s="231" t="s">
        <v>664</v>
      </c>
      <c r="B42" t="s">
        <v>665</v>
      </c>
      <c r="C42" s="234" t="s">
        <v>666</v>
      </c>
      <c r="D42" s="231" t="str">
        <f t="shared" si="0"/>
        <v>NACE A - 02 Forestry and logging</v>
      </c>
      <c r="E42" s="232" t="s">
        <v>667</v>
      </c>
      <c r="F42" t="s">
        <v>668</v>
      </c>
      <c r="G42" t="str">
        <f t="shared" si="1"/>
        <v>CC</v>
      </c>
      <c r="H42" s="337"/>
      <c r="I42" t="s">
        <v>669</v>
      </c>
      <c r="K42" t="s">
        <v>670</v>
      </c>
      <c r="S42">
        <v>2040</v>
      </c>
      <c r="V42" s="337"/>
      <c r="Z42" t="s">
        <v>671</v>
      </c>
      <c r="AA42" t="s">
        <v>672</v>
      </c>
    </row>
    <row r="43" spans="1:27" x14ac:dyDescent="0.25">
      <c r="A43" s="234" t="s">
        <v>673</v>
      </c>
      <c r="B43" t="s">
        <v>674</v>
      </c>
      <c r="C43" s="234" t="s">
        <v>675</v>
      </c>
      <c r="D43" s="234" t="str">
        <f t="shared" si="0"/>
        <v>NACE A - 02.1 Silviculture and other forestry activities</v>
      </c>
      <c r="E43" s="232" t="s">
        <v>676</v>
      </c>
      <c r="F43" t="s">
        <v>677</v>
      </c>
      <c r="G43" t="str">
        <f t="shared" si="1"/>
        <v>CD</v>
      </c>
      <c r="H43" s="337"/>
      <c r="I43" t="s">
        <v>678</v>
      </c>
      <c r="K43" t="s">
        <v>679</v>
      </c>
      <c r="S43">
        <v>2041</v>
      </c>
      <c r="V43" s="337"/>
      <c r="Z43" t="s">
        <v>680</v>
      </c>
      <c r="AA43" t="s">
        <v>681</v>
      </c>
    </row>
    <row r="44" spans="1:27" x14ac:dyDescent="0.25">
      <c r="A44" s="235" t="s">
        <v>682</v>
      </c>
      <c r="B44" t="s">
        <v>683</v>
      </c>
      <c r="C44" s="234" t="s">
        <v>684</v>
      </c>
      <c r="D44" s="235" t="str">
        <f t="shared" si="0"/>
        <v>NACE A - 02.10 Silviculture and other forestry activities</v>
      </c>
      <c r="E44" s="232" t="s">
        <v>685</v>
      </c>
      <c r="F44" t="s">
        <v>686</v>
      </c>
      <c r="G44" t="str">
        <f t="shared" si="1"/>
        <v>CF</v>
      </c>
      <c r="H44" s="337"/>
      <c r="I44" t="s">
        <v>687</v>
      </c>
      <c r="K44" t="s">
        <v>688</v>
      </c>
      <c r="S44">
        <v>2042</v>
      </c>
      <c r="V44" s="337"/>
      <c r="Z44" t="s">
        <v>689</v>
      </c>
      <c r="AA44" t="s">
        <v>690</v>
      </c>
    </row>
    <row r="45" spans="1:27" x14ac:dyDescent="0.25">
      <c r="A45" s="234" t="s">
        <v>691</v>
      </c>
      <c r="B45" t="s">
        <v>692</v>
      </c>
      <c r="C45" s="234" t="s">
        <v>693</v>
      </c>
      <c r="D45" s="234" t="str">
        <f t="shared" si="0"/>
        <v>NACE A - 02.2 Logging</v>
      </c>
      <c r="E45" s="232" t="s">
        <v>694</v>
      </c>
      <c r="F45" t="s">
        <v>695</v>
      </c>
      <c r="G45" t="str">
        <f t="shared" si="1"/>
        <v>CG</v>
      </c>
      <c r="H45" s="337"/>
      <c r="I45" t="s">
        <v>696</v>
      </c>
      <c r="K45" t="s">
        <v>697</v>
      </c>
      <c r="S45">
        <v>2043</v>
      </c>
      <c r="V45" s="337"/>
      <c r="Z45" t="s">
        <v>698</v>
      </c>
      <c r="AA45" t="s">
        <v>699</v>
      </c>
    </row>
    <row r="46" spans="1:27" x14ac:dyDescent="0.25">
      <c r="A46" s="235" t="s">
        <v>700</v>
      </c>
      <c r="B46" t="s">
        <v>701</v>
      </c>
      <c r="C46" s="231" t="s">
        <v>702</v>
      </c>
      <c r="D46" s="235" t="str">
        <f t="shared" si="0"/>
        <v>NACE A - 02.20 Logging</v>
      </c>
      <c r="E46" s="232" t="s">
        <v>161</v>
      </c>
      <c r="F46" t="s">
        <v>703</v>
      </c>
      <c r="G46" t="str">
        <f t="shared" si="1"/>
        <v>CH</v>
      </c>
      <c r="H46" s="337"/>
      <c r="I46" t="s">
        <v>704</v>
      </c>
      <c r="K46" t="s">
        <v>705</v>
      </c>
      <c r="S46">
        <v>2044</v>
      </c>
      <c r="V46" s="55"/>
      <c r="Z46" t="s">
        <v>706</v>
      </c>
      <c r="AA46" t="s">
        <v>707</v>
      </c>
    </row>
    <row r="47" spans="1:27" x14ac:dyDescent="0.25">
      <c r="A47" s="234" t="s">
        <v>708</v>
      </c>
      <c r="B47" t="s">
        <v>709</v>
      </c>
      <c r="C47" s="234" t="s">
        <v>710</v>
      </c>
      <c r="D47" s="234" t="str">
        <f t="shared" si="0"/>
        <v>NACE A - 02.3 Gathering of wild growing non-wood products</v>
      </c>
      <c r="E47" s="232" t="s">
        <v>711</v>
      </c>
      <c r="F47" t="s">
        <v>712</v>
      </c>
      <c r="G47" t="str">
        <f t="shared" si="1"/>
        <v>CI</v>
      </c>
      <c r="H47" s="55"/>
      <c r="I47" t="s">
        <v>713</v>
      </c>
      <c r="K47" t="s">
        <v>714</v>
      </c>
      <c r="S47">
        <v>2045</v>
      </c>
      <c r="V47" s="337"/>
      <c r="Z47" t="s">
        <v>715</v>
      </c>
      <c r="AA47" t="s">
        <v>716</v>
      </c>
    </row>
    <row r="48" spans="1:27" x14ac:dyDescent="0.25">
      <c r="A48" s="235" t="s">
        <v>717</v>
      </c>
      <c r="B48" t="s">
        <v>718</v>
      </c>
      <c r="C48" s="231" t="s">
        <v>719</v>
      </c>
      <c r="D48" s="235" t="str">
        <f t="shared" si="0"/>
        <v>NACE A - 02.30 Gathering of wild growing non-wood products</v>
      </c>
      <c r="E48" s="232" t="s">
        <v>720</v>
      </c>
      <c r="F48" t="s">
        <v>721</v>
      </c>
      <c r="G48" t="str">
        <f t="shared" si="1"/>
        <v>CK</v>
      </c>
      <c r="H48" s="337"/>
      <c r="I48" t="s">
        <v>722</v>
      </c>
      <c r="K48" t="s">
        <v>723</v>
      </c>
      <c r="S48">
        <v>2046</v>
      </c>
      <c r="V48" s="336"/>
      <c r="Z48" t="s">
        <v>724</v>
      </c>
      <c r="AA48" t="s">
        <v>725</v>
      </c>
    </row>
    <row r="49" spans="1:27" x14ac:dyDescent="0.25">
      <c r="A49" s="234" t="s">
        <v>726</v>
      </c>
      <c r="B49" t="s">
        <v>727</v>
      </c>
      <c r="C49" s="234" t="s">
        <v>728</v>
      </c>
      <c r="D49" s="234" t="str">
        <f t="shared" si="0"/>
        <v>NACE A - 02.4 Support services to forestry</v>
      </c>
      <c r="E49" s="232" t="s">
        <v>729</v>
      </c>
      <c r="F49" t="s">
        <v>730</v>
      </c>
      <c r="G49" t="str">
        <f t="shared" si="1"/>
        <v>CL</v>
      </c>
      <c r="H49" s="336"/>
      <c r="I49" t="s">
        <v>731</v>
      </c>
      <c r="K49" t="s">
        <v>732</v>
      </c>
      <c r="S49">
        <v>2047</v>
      </c>
      <c r="V49" s="337"/>
      <c r="Z49" t="s">
        <v>733</v>
      </c>
      <c r="AA49" t="s">
        <v>8</v>
      </c>
    </row>
    <row r="50" spans="1:27" x14ac:dyDescent="0.25">
      <c r="A50" s="235" t="s">
        <v>734</v>
      </c>
      <c r="B50" t="s">
        <v>735</v>
      </c>
      <c r="C50" s="231" t="s">
        <v>736</v>
      </c>
      <c r="D50" s="235" t="str">
        <f t="shared" si="0"/>
        <v>NACE A - 02.40 Support services to forestry</v>
      </c>
      <c r="E50" s="232" t="s">
        <v>737</v>
      </c>
      <c r="F50" t="s">
        <v>738</v>
      </c>
      <c r="G50" t="str">
        <f t="shared" si="1"/>
        <v>CM</v>
      </c>
      <c r="H50" s="337"/>
      <c r="I50" t="s">
        <v>739</v>
      </c>
      <c r="K50" t="s">
        <v>740</v>
      </c>
      <c r="S50">
        <v>2048</v>
      </c>
      <c r="V50" s="337"/>
      <c r="Z50" t="s">
        <v>741</v>
      </c>
      <c r="AA50" t="s">
        <v>742</v>
      </c>
    </row>
    <row r="51" spans="1:27" x14ac:dyDescent="0.25">
      <c r="A51" s="231" t="s">
        <v>743</v>
      </c>
      <c r="B51" t="s">
        <v>744</v>
      </c>
      <c r="C51" s="234" t="s">
        <v>745</v>
      </c>
      <c r="D51" s="231" t="str">
        <f t="shared" si="0"/>
        <v>NACE A - 03 Fishing and aquaculture</v>
      </c>
      <c r="E51" s="232" t="s">
        <v>746</v>
      </c>
      <c r="F51" t="s">
        <v>747</v>
      </c>
      <c r="G51" t="str">
        <f t="shared" si="1"/>
        <v>CN</v>
      </c>
      <c r="H51" s="337"/>
      <c r="I51" t="s">
        <v>748</v>
      </c>
      <c r="K51" t="s">
        <v>749</v>
      </c>
      <c r="S51">
        <v>2049</v>
      </c>
      <c r="V51" s="337"/>
      <c r="Z51" t="s">
        <v>750</v>
      </c>
      <c r="AA51" t="s">
        <v>751</v>
      </c>
    </row>
    <row r="52" spans="1:27" x14ac:dyDescent="0.25">
      <c r="A52" s="234" t="s">
        <v>752</v>
      </c>
      <c r="B52" t="s">
        <v>753</v>
      </c>
      <c r="C52" s="234" t="s">
        <v>754</v>
      </c>
      <c r="D52" s="234" t="str">
        <f t="shared" si="0"/>
        <v>NACE A - 03.1 Fishing</v>
      </c>
      <c r="E52" s="232" t="s">
        <v>755</v>
      </c>
      <c r="F52" t="s">
        <v>756</v>
      </c>
      <c r="G52" t="str">
        <f t="shared" si="1"/>
        <v>CO</v>
      </c>
      <c r="H52" s="337"/>
      <c r="I52" t="s">
        <v>757</v>
      </c>
      <c r="K52" t="s">
        <v>758</v>
      </c>
      <c r="S52">
        <v>2050</v>
      </c>
      <c r="V52" s="55"/>
      <c r="Z52" t="s">
        <v>759</v>
      </c>
      <c r="AA52" t="s">
        <v>760</v>
      </c>
    </row>
    <row r="53" spans="1:27" x14ac:dyDescent="0.25">
      <c r="A53" s="235" t="s">
        <v>761</v>
      </c>
      <c r="B53" t="s">
        <v>762</v>
      </c>
      <c r="C53" s="234" t="s">
        <v>763</v>
      </c>
      <c r="D53" s="235" t="str">
        <f t="shared" si="0"/>
        <v>NACE A - 03.11 Marine fishing</v>
      </c>
      <c r="E53" s="232" t="s">
        <v>764</v>
      </c>
      <c r="F53" t="s">
        <v>765</v>
      </c>
      <c r="G53" t="str">
        <f t="shared" si="1"/>
        <v>CR</v>
      </c>
      <c r="H53" s="55"/>
      <c r="I53" t="s">
        <v>766</v>
      </c>
      <c r="K53" t="s">
        <v>767</v>
      </c>
      <c r="S53">
        <v>2051</v>
      </c>
      <c r="V53" s="337"/>
      <c r="Z53" t="s">
        <v>768</v>
      </c>
      <c r="AA53" t="s">
        <v>769</v>
      </c>
    </row>
    <row r="54" spans="1:27" x14ac:dyDescent="0.25">
      <c r="A54" s="235" t="s">
        <v>770</v>
      </c>
      <c r="B54" t="s">
        <v>771</v>
      </c>
      <c r="C54" s="234" t="s">
        <v>772</v>
      </c>
      <c r="D54" s="235" t="str">
        <f t="shared" si="0"/>
        <v>NACE A - 03.12 Freshwater fishing</v>
      </c>
      <c r="E54" s="232" t="s">
        <v>773</v>
      </c>
      <c r="F54" t="s">
        <v>774</v>
      </c>
      <c r="G54" t="str">
        <f t="shared" si="1"/>
        <v>CS</v>
      </c>
      <c r="H54" s="337"/>
      <c r="I54" t="s">
        <v>775</v>
      </c>
      <c r="K54" t="s">
        <v>776</v>
      </c>
      <c r="S54">
        <v>2052</v>
      </c>
      <c r="V54" s="337"/>
      <c r="Z54" t="s">
        <v>777</v>
      </c>
      <c r="AA54" t="s">
        <v>778</v>
      </c>
    </row>
    <row r="55" spans="1:27" x14ac:dyDescent="0.25">
      <c r="A55" s="234" t="s">
        <v>779</v>
      </c>
      <c r="B55" t="s">
        <v>780</v>
      </c>
      <c r="C55" s="231" t="s">
        <v>781</v>
      </c>
      <c r="D55" s="234" t="str">
        <f t="shared" si="0"/>
        <v>NACE A - 03.2 Aquaculture</v>
      </c>
      <c r="E55" s="232" t="s">
        <v>782</v>
      </c>
      <c r="F55" t="s">
        <v>783</v>
      </c>
      <c r="G55" t="str">
        <f t="shared" si="1"/>
        <v>CU</v>
      </c>
      <c r="H55" s="337"/>
      <c r="I55" t="s">
        <v>784</v>
      </c>
      <c r="K55" t="s">
        <v>785</v>
      </c>
      <c r="S55">
        <v>2053</v>
      </c>
      <c r="V55" s="337"/>
      <c r="Z55" t="s">
        <v>786</v>
      </c>
      <c r="AA55" t="s">
        <v>787</v>
      </c>
    </row>
    <row r="56" spans="1:27" x14ac:dyDescent="0.25">
      <c r="A56" s="235" t="s">
        <v>788</v>
      </c>
      <c r="B56" t="s">
        <v>789</v>
      </c>
      <c r="C56" s="234" t="s">
        <v>790</v>
      </c>
      <c r="D56" s="235" t="str">
        <f t="shared" si="0"/>
        <v>NACE A - 03.21 Marine aquaculture</v>
      </c>
      <c r="E56" s="232" t="s">
        <v>791</v>
      </c>
      <c r="F56" t="s">
        <v>792</v>
      </c>
      <c r="G56" t="str">
        <f t="shared" si="1"/>
        <v>CV</v>
      </c>
      <c r="H56" s="337"/>
      <c r="I56" t="s">
        <v>793</v>
      </c>
      <c r="K56" t="s">
        <v>794</v>
      </c>
      <c r="S56">
        <v>2054</v>
      </c>
      <c r="V56" s="337"/>
      <c r="Z56" t="s">
        <v>795</v>
      </c>
      <c r="AA56" t="s">
        <v>796</v>
      </c>
    </row>
    <row r="57" spans="1:27" x14ac:dyDescent="0.25">
      <c r="A57" s="235" t="s">
        <v>797</v>
      </c>
      <c r="B57" t="s">
        <v>798</v>
      </c>
      <c r="C57" s="234" t="s">
        <v>799</v>
      </c>
      <c r="D57" s="235" t="str">
        <f t="shared" si="0"/>
        <v>NACE A - 03.22 Freshwater aquaculture</v>
      </c>
      <c r="E57" s="232" t="s">
        <v>800</v>
      </c>
      <c r="F57" t="s">
        <v>801</v>
      </c>
      <c r="G57" t="str">
        <f t="shared" si="1"/>
        <v>CW</v>
      </c>
      <c r="H57" s="337"/>
      <c r="I57" t="s">
        <v>802</v>
      </c>
      <c r="K57" t="s">
        <v>803</v>
      </c>
      <c r="S57">
        <v>2055</v>
      </c>
      <c r="V57" s="337"/>
      <c r="Z57" t="s">
        <v>804</v>
      </c>
      <c r="AA57" t="s">
        <v>805</v>
      </c>
    </row>
    <row r="58" spans="1:27" x14ac:dyDescent="0.25">
      <c r="A58" s="234" t="s">
        <v>806</v>
      </c>
      <c r="B58" t="s">
        <v>807</v>
      </c>
      <c r="C58" s="231" t="s">
        <v>808</v>
      </c>
      <c r="D58" s="234" t="str">
        <f t="shared" si="0"/>
        <v>NACE A - 03.3 Support activities for fishing and aquaculture</v>
      </c>
      <c r="E58" s="232" t="s">
        <v>809</v>
      </c>
      <c r="F58" t="s">
        <v>810</v>
      </c>
      <c r="G58" t="str">
        <f t="shared" si="1"/>
        <v>CX</v>
      </c>
      <c r="H58" s="337"/>
      <c r="I58" t="s">
        <v>811</v>
      </c>
      <c r="K58" t="s">
        <v>812</v>
      </c>
      <c r="S58">
        <v>2056</v>
      </c>
      <c r="V58" s="337"/>
      <c r="Z58" t="s">
        <v>813</v>
      </c>
      <c r="AA58" t="s">
        <v>814</v>
      </c>
    </row>
    <row r="59" spans="1:27" x14ac:dyDescent="0.25">
      <c r="A59" s="235" t="s">
        <v>815</v>
      </c>
      <c r="B59" t="s">
        <v>816</v>
      </c>
      <c r="C59" s="234" t="s">
        <v>817</v>
      </c>
      <c r="D59" s="235" t="str">
        <f t="shared" si="0"/>
        <v>NACE A - 03.30 Support activities for fishing and aquaculture</v>
      </c>
      <c r="E59" s="232" t="s">
        <v>818</v>
      </c>
      <c r="F59" t="s">
        <v>819</v>
      </c>
      <c r="G59" t="str">
        <f t="shared" si="1"/>
        <v>CY</v>
      </c>
      <c r="H59" s="337"/>
      <c r="I59" t="s">
        <v>820</v>
      </c>
      <c r="K59" t="s">
        <v>821</v>
      </c>
      <c r="S59">
        <v>2057</v>
      </c>
      <c r="V59" s="337"/>
      <c r="Z59" t="s">
        <v>822</v>
      </c>
      <c r="AA59" t="s">
        <v>823</v>
      </c>
    </row>
    <row r="60" spans="1:27" x14ac:dyDescent="0.25">
      <c r="A60" s="232" t="s">
        <v>824</v>
      </c>
      <c r="B60" t="s">
        <v>825</v>
      </c>
      <c r="C60" s="234" t="s">
        <v>826</v>
      </c>
      <c r="D60" s="232" t="str">
        <f t="shared" si="0"/>
        <v>NACE B - MINING AND QUARRYING</v>
      </c>
      <c r="E60" s="232" t="s">
        <v>827</v>
      </c>
      <c r="F60" t="s">
        <v>828</v>
      </c>
      <c r="G60" t="str">
        <f t="shared" si="1"/>
        <v>CZ</v>
      </c>
      <c r="H60" s="337"/>
      <c r="I60" t="s">
        <v>829</v>
      </c>
      <c r="K60" t="s">
        <v>830</v>
      </c>
      <c r="S60">
        <v>2058</v>
      </c>
      <c r="V60" s="55"/>
      <c r="Z60" t="s">
        <v>831</v>
      </c>
      <c r="AA60" t="s">
        <v>832</v>
      </c>
    </row>
    <row r="61" spans="1:27" x14ac:dyDescent="0.25">
      <c r="A61" s="231" t="s">
        <v>833</v>
      </c>
      <c r="B61" t="s">
        <v>834</v>
      </c>
      <c r="C61" s="235" t="s">
        <v>835</v>
      </c>
      <c r="D61" s="231" t="str">
        <f t="shared" si="0"/>
        <v>NACE B - 04 Mining of coal and lignite</v>
      </c>
      <c r="E61" s="232" t="s">
        <v>68</v>
      </c>
      <c r="F61" t="s">
        <v>836</v>
      </c>
      <c r="G61" t="str">
        <f t="shared" si="1"/>
        <v>DE</v>
      </c>
      <c r="H61" s="55"/>
      <c r="I61" t="s">
        <v>837</v>
      </c>
      <c r="K61" t="s">
        <v>838</v>
      </c>
      <c r="S61">
        <v>2059</v>
      </c>
      <c r="V61" s="337"/>
      <c r="Z61" t="s">
        <v>839</v>
      </c>
      <c r="AA61" t="s">
        <v>840</v>
      </c>
    </row>
    <row r="62" spans="1:27" x14ac:dyDescent="0.25">
      <c r="A62" s="234" t="s">
        <v>841</v>
      </c>
      <c r="B62" t="s">
        <v>842</v>
      </c>
      <c r="C62" s="231" t="s">
        <v>843</v>
      </c>
      <c r="D62" s="234" t="str">
        <f t="shared" si="0"/>
        <v>NACE B - 05.1 Mining of hard coal</v>
      </c>
      <c r="E62" s="232" t="s">
        <v>844</v>
      </c>
      <c r="F62" t="s">
        <v>845</v>
      </c>
      <c r="G62" t="str">
        <f t="shared" si="1"/>
        <v>DJ</v>
      </c>
      <c r="H62" s="337"/>
      <c r="I62" t="s">
        <v>846</v>
      </c>
      <c r="K62" t="s">
        <v>847</v>
      </c>
      <c r="S62">
        <v>2060</v>
      </c>
      <c r="V62" s="337"/>
      <c r="Z62" t="s">
        <v>848</v>
      </c>
      <c r="AA62" t="s">
        <v>849</v>
      </c>
    </row>
    <row r="63" spans="1:27" x14ac:dyDescent="0.25">
      <c r="A63" s="235" t="s">
        <v>850</v>
      </c>
      <c r="B63" t="s">
        <v>851</v>
      </c>
      <c r="C63" s="234" t="s">
        <v>852</v>
      </c>
      <c r="D63" s="235" t="str">
        <f t="shared" si="0"/>
        <v>NACE B - 05.10 Mining of hard coal</v>
      </c>
      <c r="E63" s="232" t="s">
        <v>853</v>
      </c>
      <c r="F63" t="s">
        <v>854</v>
      </c>
      <c r="G63" t="str">
        <f t="shared" si="1"/>
        <v>DK</v>
      </c>
      <c r="H63" s="337"/>
      <c r="I63" t="s">
        <v>855</v>
      </c>
      <c r="K63" t="s">
        <v>856</v>
      </c>
      <c r="S63">
        <v>2061</v>
      </c>
      <c r="V63" s="337"/>
      <c r="Z63" t="s">
        <v>857</v>
      </c>
      <c r="AA63" t="s">
        <v>858</v>
      </c>
    </row>
    <row r="64" spans="1:27" x14ac:dyDescent="0.25">
      <c r="A64" s="234" t="s">
        <v>859</v>
      </c>
      <c r="B64" t="s">
        <v>860</v>
      </c>
      <c r="C64" s="234" t="s">
        <v>861</v>
      </c>
      <c r="D64" s="234" t="str">
        <f t="shared" si="0"/>
        <v>NACE B - 05.2 Mining of lignite</v>
      </c>
      <c r="E64" s="232" t="s">
        <v>862</v>
      </c>
      <c r="F64" t="s">
        <v>863</v>
      </c>
      <c r="G64" t="str">
        <f t="shared" si="1"/>
        <v>DM</v>
      </c>
      <c r="H64" s="337"/>
      <c r="I64" t="s">
        <v>864</v>
      </c>
      <c r="K64" t="s">
        <v>865</v>
      </c>
      <c r="S64">
        <v>2062</v>
      </c>
      <c r="V64" s="337"/>
      <c r="Z64" t="s">
        <v>866</v>
      </c>
      <c r="AA64" t="s">
        <v>867</v>
      </c>
    </row>
    <row r="65" spans="1:27" x14ac:dyDescent="0.25">
      <c r="A65" s="235" t="s">
        <v>868</v>
      </c>
      <c r="B65" t="s">
        <v>869</v>
      </c>
      <c r="C65" s="231" t="s">
        <v>870</v>
      </c>
      <c r="D65" s="235" t="str">
        <f t="shared" si="0"/>
        <v>NACE B - 05.20 Mining of lignite</v>
      </c>
      <c r="E65" s="232" t="s">
        <v>871</v>
      </c>
      <c r="F65" t="s">
        <v>872</v>
      </c>
      <c r="G65" t="str">
        <f t="shared" si="1"/>
        <v>DO</v>
      </c>
      <c r="H65" s="337"/>
      <c r="I65" t="s">
        <v>873</v>
      </c>
      <c r="K65" t="s">
        <v>874</v>
      </c>
      <c r="S65">
        <v>2063</v>
      </c>
      <c r="V65" s="55"/>
      <c r="Z65" t="s">
        <v>875</v>
      </c>
      <c r="AA65" t="s">
        <v>876</v>
      </c>
    </row>
    <row r="66" spans="1:27" x14ac:dyDescent="0.25">
      <c r="A66" s="231" t="s">
        <v>877</v>
      </c>
      <c r="B66" t="s">
        <v>878</v>
      </c>
      <c r="C66" s="234" t="s">
        <v>879</v>
      </c>
      <c r="D66" s="231" t="str">
        <f t="shared" ref="D66:D129" si="2">_xlfn.CONCAT("NACE ", A66)</f>
        <v>NACE B - 05 Extraction of crude petroleum and natural gas</v>
      </c>
      <c r="E66" s="232" t="s">
        <v>880</v>
      </c>
      <c r="F66" t="s">
        <v>881</v>
      </c>
      <c r="G66" t="str">
        <f t="shared" si="1"/>
        <v>DZ</v>
      </c>
      <c r="H66" s="55"/>
      <c r="I66" t="s">
        <v>882</v>
      </c>
      <c r="K66" t="s">
        <v>883</v>
      </c>
      <c r="S66">
        <v>2064</v>
      </c>
      <c r="V66" s="337"/>
      <c r="Z66" t="s">
        <v>884</v>
      </c>
      <c r="AA66" t="s">
        <v>885</v>
      </c>
    </row>
    <row r="67" spans="1:27" x14ac:dyDescent="0.25">
      <c r="A67" s="234" t="s">
        <v>886</v>
      </c>
      <c r="B67" t="s">
        <v>887</v>
      </c>
      <c r="C67" s="234" t="s">
        <v>888</v>
      </c>
      <c r="D67" s="234" t="str">
        <f t="shared" si="2"/>
        <v>NACE B - 06.1 Extraction of crude petroleum</v>
      </c>
      <c r="E67" s="232" t="s">
        <v>889</v>
      </c>
      <c r="F67" t="s">
        <v>890</v>
      </c>
      <c r="G67" t="str">
        <f t="shared" ref="G67:G130" si="3">RIGHT(F67,2)</f>
        <v>EC</v>
      </c>
      <c r="H67" s="337"/>
      <c r="I67" t="s">
        <v>891</v>
      </c>
      <c r="K67" t="s">
        <v>892</v>
      </c>
      <c r="S67">
        <v>2065</v>
      </c>
      <c r="V67" s="337"/>
      <c r="Z67" t="s">
        <v>893</v>
      </c>
      <c r="AA67" t="s">
        <v>894</v>
      </c>
    </row>
    <row r="68" spans="1:27" x14ac:dyDescent="0.25">
      <c r="A68" s="235" t="s">
        <v>895</v>
      </c>
      <c r="B68" t="s">
        <v>896</v>
      </c>
      <c r="C68" s="231" t="s">
        <v>897</v>
      </c>
      <c r="D68" s="235" t="str">
        <f t="shared" si="2"/>
        <v>NACE B - 06.10 Extraction of crude petroleum</v>
      </c>
      <c r="E68" s="232" t="s">
        <v>898</v>
      </c>
      <c r="F68" t="s">
        <v>899</v>
      </c>
      <c r="G68" t="str">
        <f t="shared" si="3"/>
        <v>EE</v>
      </c>
      <c r="H68" s="337"/>
      <c r="I68" t="s">
        <v>900</v>
      </c>
      <c r="K68" t="s">
        <v>901</v>
      </c>
      <c r="S68">
        <v>2066</v>
      </c>
      <c r="V68" s="336"/>
      <c r="Z68" t="s">
        <v>902</v>
      </c>
      <c r="AA68" t="s">
        <v>903</v>
      </c>
    </row>
    <row r="69" spans="1:27" x14ac:dyDescent="0.25">
      <c r="A69" s="234" t="s">
        <v>904</v>
      </c>
      <c r="B69" t="s">
        <v>905</v>
      </c>
      <c r="C69" s="234" t="s">
        <v>906</v>
      </c>
      <c r="D69" s="234" t="str">
        <f t="shared" si="2"/>
        <v>NACE B - 06.2 Extraction of natural gas</v>
      </c>
      <c r="E69" s="232" t="s">
        <v>907</v>
      </c>
      <c r="F69" t="s">
        <v>908</v>
      </c>
      <c r="G69" t="str">
        <f t="shared" si="3"/>
        <v>EG</v>
      </c>
      <c r="H69" s="336"/>
      <c r="I69" t="s">
        <v>909</v>
      </c>
      <c r="K69" t="s">
        <v>910</v>
      </c>
      <c r="S69">
        <v>2067</v>
      </c>
      <c r="V69" s="336"/>
      <c r="Z69" t="s">
        <v>911</v>
      </c>
      <c r="AA69" t="s">
        <v>912</v>
      </c>
    </row>
    <row r="70" spans="1:27" x14ac:dyDescent="0.25">
      <c r="A70" s="235" t="s">
        <v>913</v>
      </c>
      <c r="B70" t="s">
        <v>914</v>
      </c>
      <c r="C70" s="234" t="s">
        <v>915</v>
      </c>
      <c r="D70" s="235" t="str">
        <f t="shared" si="2"/>
        <v>NACE B - 06.20 Extraction of natural gas</v>
      </c>
      <c r="E70" s="232" t="s">
        <v>916</v>
      </c>
      <c r="F70" t="s">
        <v>917</v>
      </c>
      <c r="G70" t="str">
        <f t="shared" si="3"/>
        <v>EH</v>
      </c>
      <c r="H70" s="336"/>
      <c r="I70" t="s">
        <v>918</v>
      </c>
      <c r="K70" t="s">
        <v>919</v>
      </c>
      <c r="S70">
        <v>2068</v>
      </c>
      <c r="V70" s="336"/>
      <c r="Z70" t="s">
        <v>920</v>
      </c>
      <c r="AA70" t="s">
        <v>921</v>
      </c>
    </row>
    <row r="71" spans="1:27" x14ac:dyDescent="0.25">
      <c r="A71" s="231" t="s">
        <v>922</v>
      </c>
      <c r="B71" t="s">
        <v>923</v>
      </c>
      <c r="C71" s="231" t="s">
        <v>924</v>
      </c>
      <c r="D71" s="231" t="str">
        <f t="shared" si="2"/>
        <v>NACE B - 06 Mining of metal ores</v>
      </c>
      <c r="E71" s="232" t="s">
        <v>925</v>
      </c>
      <c r="F71" t="s">
        <v>926</v>
      </c>
      <c r="G71" t="str">
        <f t="shared" si="3"/>
        <v>ER</v>
      </c>
      <c r="H71" s="336"/>
      <c r="I71" t="s">
        <v>927</v>
      </c>
      <c r="K71" t="s">
        <v>928</v>
      </c>
      <c r="S71">
        <v>2069</v>
      </c>
      <c r="V71" s="336"/>
      <c r="Z71" t="s">
        <v>929</v>
      </c>
      <c r="AA71" t="s">
        <v>930</v>
      </c>
    </row>
    <row r="72" spans="1:27" x14ac:dyDescent="0.25">
      <c r="A72" s="234" t="s">
        <v>931</v>
      </c>
      <c r="B72" t="s">
        <v>932</v>
      </c>
      <c r="C72" s="234" t="s">
        <v>933</v>
      </c>
      <c r="D72" s="234" t="str">
        <f t="shared" si="2"/>
        <v>NACE B - 07.1 Mining of iron ores</v>
      </c>
      <c r="E72" s="232" t="s">
        <v>934</v>
      </c>
      <c r="F72" t="s">
        <v>935</v>
      </c>
      <c r="G72" t="str">
        <f t="shared" si="3"/>
        <v>ES</v>
      </c>
      <c r="H72" s="336"/>
      <c r="I72" t="s">
        <v>936</v>
      </c>
      <c r="K72" t="s">
        <v>937</v>
      </c>
      <c r="S72">
        <v>2070</v>
      </c>
      <c r="V72" s="336"/>
      <c r="Z72" t="s">
        <v>938</v>
      </c>
      <c r="AA72" t="s">
        <v>939</v>
      </c>
    </row>
    <row r="73" spans="1:27" x14ac:dyDescent="0.25">
      <c r="A73" s="235" t="s">
        <v>940</v>
      </c>
      <c r="B73" t="s">
        <v>941</v>
      </c>
      <c r="C73" s="234" t="s">
        <v>942</v>
      </c>
      <c r="D73" s="235" t="str">
        <f t="shared" si="2"/>
        <v>NACE B - 07.10 Mining of iron ores</v>
      </c>
      <c r="E73" s="232" t="s">
        <v>943</v>
      </c>
      <c r="F73" t="s">
        <v>944</v>
      </c>
      <c r="G73" t="str">
        <f t="shared" si="3"/>
        <v>ET</v>
      </c>
      <c r="H73" s="336"/>
      <c r="I73" t="s">
        <v>945</v>
      </c>
      <c r="K73" t="s">
        <v>946</v>
      </c>
      <c r="S73">
        <v>2071</v>
      </c>
      <c r="V73" s="336"/>
      <c r="Z73" t="s">
        <v>947</v>
      </c>
      <c r="AA73" t="s">
        <v>948</v>
      </c>
    </row>
    <row r="74" spans="1:27" x14ac:dyDescent="0.25">
      <c r="A74" s="234" t="s">
        <v>949</v>
      </c>
      <c r="B74" t="s">
        <v>950</v>
      </c>
      <c r="C74" s="231" t="s">
        <v>951</v>
      </c>
      <c r="D74" s="234" t="str">
        <f t="shared" si="2"/>
        <v>NACE B - 07.2 Mining of non-ferrous metal ores</v>
      </c>
      <c r="E74" s="232" t="s">
        <v>952</v>
      </c>
      <c r="F74" t="s">
        <v>953</v>
      </c>
      <c r="G74" t="str">
        <f t="shared" si="3"/>
        <v>FI</v>
      </c>
      <c r="H74" s="336"/>
      <c r="I74" t="s">
        <v>954</v>
      </c>
      <c r="K74" t="s">
        <v>955</v>
      </c>
      <c r="S74">
        <v>2072</v>
      </c>
      <c r="V74" s="337"/>
      <c r="Z74" t="s">
        <v>956</v>
      </c>
      <c r="AA74" t="s">
        <v>957</v>
      </c>
    </row>
    <row r="75" spans="1:27" x14ac:dyDescent="0.25">
      <c r="A75" s="235" t="s">
        <v>958</v>
      </c>
      <c r="B75" t="s">
        <v>959</v>
      </c>
      <c r="C75" s="234" t="s">
        <v>960</v>
      </c>
      <c r="D75" s="235" t="str">
        <f t="shared" si="2"/>
        <v>NACE B - 07.21 Mining of uranium and thorium ores</v>
      </c>
      <c r="E75" s="232" t="s">
        <v>961</v>
      </c>
      <c r="F75" t="s">
        <v>962</v>
      </c>
      <c r="G75" t="str">
        <f t="shared" si="3"/>
        <v>FJ</v>
      </c>
      <c r="H75" s="337"/>
      <c r="I75" t="s">
        <v>963</v>
      </c>
      <c r="K75" t="s">
        <v>964</v>
      </c>
      <c r="S75">
        <v>2073</v>
      </c>
      <c r="V75" s="337"/>
      <c r="Z75" t="s">
        <v>965</v>
      </c>
      <c r="AA75" t="s">
        <v>966</v>
      </c>
    </row>
    <row r="76" spans="1:27" x14ac:dyDescent="0.25">
      <c r="A76" s="235" t="s">
        <v>967</v>
      </c>
      <c r="B76" t="s">
        <v>968</v>
      </c>
      <c r="C76" s="234" t="s">
        <v>969</v>
      </c>
      <c r="D76" s="235" t="str">
        <f t="shared" si="2"/>
        <v>NACE B - 07.29 Mining of other non-ferrous metal ores</v>
      </c>
      <c r="E76" s="232" t="s">
        <v>970</v>
      </c>
      <c r="F76" t="s">
        <v>971</v>
      </c>
      <c r="G76" t="str">
        <f t="shared" si="3"/>
        <v>FK</v>
      </c>
      <c r="H76" s="337"/>
      <c r="I76" t="s">
        <v>972</v>
      </c>
      <c r="K76" t="s">
        <v>973</v>
      </c>
      <c r="S76">
        <v>2074</v>
      </c>
      <c r="V76" s="337"/>
      <c r="Z76" t="s">
        <v>974</v>
      </c>
      <c r="AA76" t="s">
        <v>975</v>
      </c>
    </row>
    <row r="77" spans="1:27" x14ac:dyDescent="0.25">
      <c r="A77" s="231" t="s">
        <v>976</v>
      </c>
      <c r="B77" t="s">
        <v>977</v>
      </c>
      <c r="C77" s="234" t="s">
        <v>978</v>
      </c>
      <c r="D77" s="231" t="str">
        <f t="shared" si="2"/>
        <v>NACE B - 07 Other mining and quarrying</v>
      </c>
      <c r="E77" s="232" t="s">
        <v>979</v>
      </c>
      <c r="F77" t="s">
        <v>980</v>
      </c>
      <c r="G77" t="str">
        <f t="shared" si="3"/>
        <v>FM</v>
      </c>
      <c r="H77" s="337"/>
      <c r="I77" t="s">
        <v>981</v>
      </c>
      <c r="K77" t="s">
        <v>982</v>
      </c>
      <c r="S77">
        <v>2075</v>
      </c>
      <c r="V77" s="337"/>
      <c r="Z77" t="s">
        <v>983</v>
      </c>
      <c r="AA77" t="s">
        <v>984</v>
      </c>
    </row>
    <row r="78" spans="1:27" x14ac:dyDescent="0.25">
      <c r="A78" s="234" t="s">
        <v>985</v>
      </c>
      <c r="B78" t="s">
        <v>986</v>
      </c>
      <c r="C78" s="234" t="s">
        <v>987</v>
      </c>
      <c r="D78" s="234" t="str">
        <f t="shared" si="2"/>
        <v>NACE B - 08.1 Quarrying of stone, sand and clay</v>
      </c>
      <c r="E78" s="232" t="s">
        <v>988</v>
      </c>
      <c r="F78" t="s">
        <v>989</v>
      </c>
      <c r="G78" t="str">
        <f t="shared" si="3"/>
        <v>FO</v>
      </c>
      <c r="H78" s="337"/>
      <c r="I78" t="s">
        <v>990</v>
      </c>
      <c r="K78" t="s">
        <v>991</v>
      </c>
      <c r="S78">
        <v>2076</v>
      </c>
      <c r="V78" s="337"/>
      <c r="Z78" t="s">
        <v>992</v>
      </c>
      <c r="AA78" t="s">
        <v>993</v>
      </c>
    </row>
    <row r="79" spans="1:27" x14ac:dyDescent="0.25">
      <c r="A79" s="235" t="s">
        <v>994</v>
      </c>
      <c r="B79" t="s">
        <v>995</v>
      </c>
      <c r="C79" s="234" t="s">
        <v>996</v>
      </c>
      <c r="D79" s="235" t="str">
        <f t="shared" si="2"/>
        <v>NACE B - 08.11 Quarrying of ornamental stone, limestone, gypsum, slate and other stone</v>
      </c>
      <c r="E79" s="232" t="s">
        <v>31</v>
      </c>
      <c r="F79" t="s">
        <v>997</v>
      </c>
      <c r="G79" t="str">
        <f t="shared" si="3"/>
        <v>FR</v>
      </c>
      <c r="H79" s="337"/>
      <c r="I79" t="s">
        <v>998</v>
      </c>
      <c r="K79" t="s">
        <v>999</v>
      </c>
      <c r="S79">
        <v>2077</v>
      </c>
      <c r="V79" s="337"/>
      <c r="Z79" t="s">
        <v>1000</v>
      </c>
      <c r="AA79" t="s">
        <v>1001</v>
      </c>
    </row>
    <row r="80" spans="1:27" x14ac:dyDescent="0.25">
      <c r="A80" s="235" t="s">
        <v>1002</v>
      </c>
      <c r="B80" t="s">
        <v>1003</v>
      </c>
      <c r="C80" s="234" t="s">
        <v>1004</v>
      </c>
      <c r="D80" s="235" t="str">
        <f t="shared" si="2"/>
        <v>NACE B - 08.12 Operation of gravel and sand pits and mining of clay and kaolin</v>
      </c>
      <c r="E80" s="232" t="s">
        <v>1005</v>
      </c>
      <c r="F80" t="s">
        <v>1006</v>
      </c>
      <c r="G80" t="str">
        <f t="shared" si="3"/>
        <v>GA</v>
      </c>
      <c r="H80" s="337"/>
      <c r="I80" t="s">
        <v>1007</v>
      </c>
      <c r="K80" t="s">
        <v>1008</v>
      </c>
      <c r="S80">
        <v>2078</v>
      </c>
      <c r="V80" s="336"/>
      <c r="Z80" t="s">
        <v>1009</v>
      </c>
      <c r="AA80" t="s">
        <v>1010</v>
      </c>
    </row>
    <row r="81" spans="1:27" x14ac:dyDescent="0.25">
      <c r="A81" s="234" t="s">
        <v>1011</v>
      </c>
      <c r="B81" t="s">
        <v>1012</v>
      </c>
      <c r="C81" s="231" t="s">
        <v>1013</v>
      </c>
      <c r="D81" s="234" t="str">
        <f t="shared" si="2"/>
        <v>NACE B - 08.9 Mining and quarrying n.e.c.</v>
      </c>
      <c r="E81" s="232" t="s">
        <v>72</v>
      </c>
      <c r="F81" t="s">
        <v>1014</v>
      </c>
      <c r="G81" t="str">
        <f t="shared" si="3"/>
        <v>GB</v>
      </c>
      <c r="H81" s="336"/>
      <c r="I81" t="s">
        <v>1015</v>
      </c>
      <c r="K81" t="s">
        <v>1016</v>
      </c>
      <c r="S81">
        <v>2079</v>
      </c>
      <c r="V81" s="336"/>
      <c r="Z81" t="s">
        <v>1017</v>
      </c>
      <c r="AA81" t="s">
        <v>1018</v>
      </c>
    </row>
    <row r="82" spans="1:27" x14ac:dyDescent="0.25">
      <c r="A82" s="235" t="s">
        <v>1019</v>
      </c>
      <c r="B82" t="s">
        <v>1020</v>
      </c>
      <c r="C82" s="234" t="s">
        <v>1021</v>
      </c>
      <c r="D82" s="235" t="str">
        <f t="shared" si="2"/>
        <v>NACE B - 08.91 Mining of chemical and fertiliser minerals</v>
      </c>
      <c r="E82" s="232" t="s">
        <v>1022</v>
      </c>
      <c r="F82" t="s">
        <v>1023</v>
      </c>
      <c r="G82" t="str">
        <f t="shared" si="3"/>
        <v>GD</v>
      </c>
      <c r="H82" s="336"/>
      <c r="I82" t="s">
        <v>1024</v>
      </c>
      <c r="K82" t="s">
        <v>1025</v>
      </c>
      <c r="S82">
        <v>2080</v>
      </c>
      <c r="V82" s="336"/>
      <c r="Z82" t="s">
        <v>1026</v>
      </c>
      <c r="AA82" t="s">
        <v>1027</v>
      </c>
    </row>
    <row r="83" spans="1:27" x14ac:dyDescent="0.25">
      <c r="A83" s="235" t="s">
        <v>1028</v>
      </c>
      <c r="B83" t="s">
        <v>1029</v>
      </c>
      <c r="C83" s="234" t="s">
        <v>1030</v>
      </c>
      <c r="D83" s="235" t="str">
        <f t="shared" si="2"/>
        <v>NACE B - 08.92 Extraction of peat</v>
      </c>
      <c r="E83" s="232" t="s">
        <v>1031</v>
      </c>
      <c r="F83" t="s">
        <v>1032</v>
      </c>
      <c r="G83" t="str">
        <f t="shared" si="3"/>
        <v>GE</v>
      </c>
      <c r="H83" s="336"/>
      <c r="I83" t="s">
        <v>1033</v>
      </c>
      <c r="K83" t="s">
        <v>1034</v>
      </c>
      <c r="S83">
        <v>2081</v>
      </c>
      <c r="V83" s="337"/>
      <c r="Z83" t="s">
        <v>1035</v>
      </c>
      <c r="AA83" t="s">
        <v>1036</v>
      </c>
    </row>
    <row r="84" spans="1:27" x14ac:dyDescent="0.25">
      <c r="A84" s="235" t="s">
        <v>1037</v>
      </c>
      <c r="B84" t="s">
        <v>1038</v>
      </c>
      <c r="C84" s="231" t="s">
        <v>1039</v>
      </c>
      <c r="D84" s="235" t="str">
        <f t="shared" si="2"/>
        <v>NACE B - 08.93 Extraction of salt</v>
      </c>
      <c r="E84" s="232" t="s">
        <v>1040</v>
      </c>
      <c r="F84" t="s">
        <v>1041</v>
      </c>
      <c r="G84" t="str">
        <f t="shared" si="3"/>
        <v>GF</v>
      </c>
      <c r="H84" s="337"/>
      <c r="I84" t="s">
        <v>1042</v>
      </c>
      <c r="K84" t="s">
        <v>1043</v>
      </c>
      <c r="S84">
        <v>2082</v>
      </c>
      <c r="V84" s="337"/>
      <c r="Z84" t="s">
        <v>1044</v>
      </c>
      <c r="AA84" t="s">
        <v>1045</v>
      </c>
    </row>
    <row r="85" spans="1:27" x14ac:dyDescent="0.25">
      <c r="A85" s="235" t="s">
        <v>1046</v>
      </c>
      <c r="B85" t="s">
        <v>1047</v>
      </c>
      <c r="C85" s="234" t="s">
        <v>1048</v>
      </c>
      <c r="D85" s="235" t="str">
        <f t="shared" si="2"/>
        <v>NACE B - 08.99 Other mining and quarrying n.e.c.</v>
      </c>
      <c r="E85" s="232" t="s">
        <v>1049</v>
      </c>
      <c r="F85" t="s">
        <v>1050</v>
      </c>
      <c r="G85" t="str">
        <f t="shared" si="3"/>
        <v>GG</v>
      </c>
      <c r="H85" s="337"/>
      <c r="I85" t="s">
        <v>1051</v>
      </c>
      <c r="K85" t="s">
        <v>1052</v>
      </c>
      <c r="S85">
        <v>2083</v>
      </c>
      <c r="V85" s="55"/>
      <c r="Z85" t="s">
        <v>1053</v>
      </c>
      <c r="AA85" t="s">
        <v>1054</v>
      </c>
    </row>
    <row r="86" spans="1:27" x14ac:dyDescent="0.25">
      <c r="A86" s="231" t="s">
        <v>1055</v>
      </c>
      <c r="B86" t="s">
        <v>1056</v>
      </c>
      <c r="C86" s="234" t="s">
        <v>1057</v>
      </c>
      <c r="D86" s="231" t="str">
        <f t="shared" si="2"/>
        <v>NACE B - 08 Mining support service activities</v>
      </c>
      <c r="E86" s="232" t="s">
        <v>1058</v>
      </c>
      <c r="F86" t="s">
        <v>1059</v>
      </c>
      <c r="G86" t="str">
        <f t="shared" si="3"/>
        <v>GH</v>
      </c>
      <c r="H86" s="55"/>
      <c r="I86" t="s">
        <v>1060</v>
      </c>
      <c r="K86" t="s">
        <v>1061</v>
      </c>
      <c r="S86">
        <v>2084</v>
      </c>
      <c r="V86" s="337"/>
      <c r="Z86" t="s">
        <v>1062</v>
      </c>
      <c r="AA86" t="s">
        <v>1063</v>
      </c>
    </row>
    <row r="87" spans="1:27" x14ac:dyDescent="0.25">
      <c r="A87" s="234" t="s">
        <v>1064</v>
      </c>
      <c r="B87" t="s">
        <v>1065</v>
      </c>
      <c r="C87" s="231" t="s">
        <v>1066</v>
      </c>
      <c r="D87" s="234" t="str">
        <f t="shared" si="2"/>
        <v>NACE B - 09.1 Support activities for petroleum and natural gas extraction</v>
      </c>
      <c r="E87" s="232" t="s">
        <v>1067</v>
      </c>
      <c r="F87" t="s">
        <v>1068</v>
      </c>
      <c r="G87" t="str">
        <f t="shared" si="3"/>
        <v>GI</v>
      </c>
      <c r="H87" s="337"/>
      <c r="I87" t="s">
        <v>1069</v>
      </c>
      <c r="K87" t="s">
        <v>1070</v>
      </c>
      <c r="S87">
        <v>2085</v>
      </c>
      <c r="V87" s="337"/>
      <c r="Z87" t="s">
        <v>1071</v>
      </c>
      <c r="AA87" t="s">
        <v>1072</v>
      </c>
    </row>
    <row r="88" spans="1:27" x14ac:dyDescent="0.25">
      <c r="A88" s="235" t="s">
        <v>1073</v>
      </c>
      <c r="B88" t="s">
        <v>1074</v>
      </c>
      <c r="C88" s="234" t="s">
        <v>1075</v>
      </c>
      <c r="D88" s="235" t="str">
        <f t="shared" si="2"/>
        <v>NACE B - 09.10 Support activities for petroleum and natural gas extraction</v>
      </c>
      <c r="E88" s="232" t="s">
        <v>1076</v>
      </c>
      <c r="F88" t="s">
        <v>1077</v>
      </c>
      <c r="G88" t="str">
        <f t="shared" si="3"/>
        <v>GL</v>
      </c>
      <c r="H88" s="337"/>
      <c r="I88" t="s">
        <v>1078</v>
      </c>
      <c r="K88" t="s">
        <v>1079</v>
      </c>
      <c r="S88">
        <v>2086</v>
      </c>
      <c r="V88" s="337"/>
      <c r="Z88" t="s">
        <v>1080</v>
      </c>
      <c r="AA88" t="s">
        <v>1081</v>
      </c>
    </row>
    <row r="89" spans="1:27" x14ac:dyDescent="0.25">
      <c r="A89" s="234" t="s">
        <v>1082</v>
      </c>
      <c r="B89" t="s">
        <v>1083</v>
      </c>
      <c r="C89" s="234" t="s">
        <v>1084</v>
      </c>
      <c r="D89" s="234" t="str">
        <f t="shared" si="2"/>
        <v>NACE B - 09.9 Support activities for other mining and quarrying</v>
      </c>
      <c r="E89" s="232" t="s">
        <v>1085</v>
      </c>
      <c r="F89" t="s">
        <v>1086</v>
      </c>
      <c r="G89" t="str">
        <f t="shared" si="3"/>
        <v>GM</v>
      </c>
      <c r="H89" s="337"/>
      <c r="I89" t="s">
        <v>1087</v>
      </c>
      <c r="K89" t="s">
        <v>1088</v>
      </c>
      <c r="S89">
        <v>2087</v>
      </c>
      <c r="V89" s="337"/>
      <c r="Z89" t="s">
        <v>1089</v>
      </c>
      <c r="AA89" t="s">
        <v>1090</v>
      </c>
    </row>
    <row r="90" spans="1:27" x14ac:dyDescent="0.25">
      <c r="A90" s="235" t="s">
        <v>1091</v>
      </c>
      <c r="B90" t="s">
        <v>1092</v>
      </c>
      <c r="C90" s="234" t="s">
        <v>1093</v>
      </c>
      <c r="D90" s="235" t="str">
        <f t="shared" si="2"/>
        <v>NACE B - 09.90 Support activities for other mining and quarrying</v>
      </c>
      <c r="E90" s="232" t="s">
        <v>1094</v>
      </c>
      <c r="F90" t="s">
        <v>1095</v>
      </c>
      <c r="G90" t="str">
        <f t="shared" si="3"/>
        <v>GN</v>
      </c>
      <c r="H90" s="337"/>
      <c r="I90" t="s">
        <v>1096</v>
      </c>
      <c r="K90" t="s">
        <v>1097</v>
      </c>
      <c r="S90">
        <v>2088</v>
      </c>
      <c r="V90" s="337"/>
      <c r="Z90" t="s">
        <v>1098</v>
      </c>
      <c r="AA90" t="s">
        <v>1099</v>
      </c>
    </row>
    <row r="91" spans="1:27" x14ac:dyDescent="0.25">
      <c r="A91" s="232" t="s">
        <v>1100</v>
      </c>
      <c r="B91" t="s">
        <v>1101</v>
      </c>
      <c r="C91" s="234" t="s">
        <v>1102</v>
      </c>
      <c r="D91" s="232" t="str">
        <f t="shared" si="2"/>
        <v>NACE C - MANUFACTURING</v>
      </c>
      <c r="E91" s="232" t="s">
        <v>1103</v>
      </c>
      <c r="F91" t="s">
        <v>1104</v>
      </c>
      <c r="G91" t="str">
        <f t="shared" si="3"/>
        <v>GP</v>
      </c>
      <c r="H91" s="337"/>
      <c r="I91" t="s">
        <v>1105</v>
      </c>
      <c r="K91" t="s">
        <v>1106</v>
      </c>
      <c r="S91">
        <v>2089</v>
      </c>
      <c r="V91" s="337"/>
      <c r="Z91" t="s">
        <v>1107</v>
      </c>
      <c r="AA91" t="s">
        <v>1108</v>
      </c>
    </row>
    <row r="92" spans="1:27" x14ac:dyDescent="0.25">
      <c r="A92" s="231" t="s">
        <v>1109</v>
      </c>
      <c r="B92" t="s">
        <v>1110</v>
      </c>
      <c r="C92" s="234" t="s">
        <v>1111</v>
      </c>
      <c r="D92" s="231" t="str">
        <f t="shared" si="2"/>
        <v>NACE C - 10 Manufacture of food products</v>
      </c>
      <c r="E92" s="232" t="s">
        <v>1112</v>
      </c>
      <c r="F92" t="s">
        <v>1113</v>
      </c>
      <c r="G92" t="str">
        <f t="shared" si="3"/>
        <v>GQ</v>
      </c>
      <c r="H92" s="337"/>
      <c r="I92" t="s">
        <v>1114</v>
      </c>
      <c r="K92" t="s">
        <v>1115</v>
      </c>
      <c r="S92">
        <v>2090</v>
      </c>
      <c r="V92" s="337"/>
      <c r="Z92" t="s">
        <v>1116</v>
      </c>
      <c r="AA92" t="s">
        <v>1117</v>
      </c>
    </row>
    <row r="93" spans="1:27" x14ac:dyDescent="0.25">
      <c r="A93" s="234" t="s">
        <v>1118</v>
      </c>
      <c r="B93" t="s">
        <v>1119</v>
      </c>
      <c r="C93" s="234" t="s">
        <v>1120</v>
      </c>
      <c r="D93" s="234" t="str">
        <f t="shared" si="2"/>
        <v>NACE C - 10.1 Processing and preserving of meat and production of meat products</v>
      </c>
      <c r="E93" s="232" t="s">
        <v>1121</v>
      </c>
      <c r="F93" t="s">
        <v>1122</v>
      </c>
      <c r="G93" t="str">
        <f t="shared" si="3"/>
        <v>GR</v>
      </c>
      <c r="H93" s="337"/>
      <c r="I93" t="s">
        <v>1123</v>
      </c>
      <c r="K93" t="s">
        <v>1124</v>
      </c>
      <c r="S93">
        <v>2091</v>
      </c>
      <c r="V93" s="337"/>
      <c r="Z93" t="s">
        <v>1125</v>
      </c>
      <c r="AA93" t="s">
        <v>1126</v>
      </c>
    </row>
    <row r="94" spans="1:27" x14ac:dyDescent="0.25">
      <c r="A94" s="235" t="s">
        <v>1127</v>
      </c>
      <c r="B94" t="s">
        <v>1128</v>
      </c>
      <c r="C94" s="234" t="s">
        <v>1129</v>
      </c>
      <c r="D94" s="235" t="str">
        <f t="shared" si="2"/>
        <v>NACE C - 10.11 Processing and preserving of meat, except of poultry meat</v>
      </c>
      <c r="E94" s="232" t="s">
        <v>1130</v>
      </c>
      <c r="F94" t="s">
        <v>1131</v>
      </c>
      <c r="G94" t="str">
        <f t="shared" si="3"/>
        <v>GS</v>
      </c>
      <c r="H94" s="337"/>
      <c r="I94" t="s">
        <v>1132</v>
      </c>
      <c r="K94" t="s">
        <v>1133</v>
      </c>
      <c r="S94">
        <v>2092</v>
      </c>
      <c r="V94" s="55"/>
      <c r="Z94" t="s">
        <v>1134</v>
      </c>
      <c r="AA94" t="s">
        <v>1135</v>
      </c>
    </row>
    <row r="95" spans="1:27" x14ac:dyDescent="0.25">
      <c r="A95" s="235" t="s">
        <v>1136</v>
      </c>
      <c r="B95" t="s">
        <v>1137</v>
      </c>
      <c r="C95" s="234" t="s">
        <v>1138</v>
      </c>
      <c r="D95" s="235" t="str">
        <f t="shared" si="2"/>
        <v>NACE C - 10.12 Processing and preserving of poultry meat</v>
      </c>
      <c r="E95" s="232" t="s">
        <v>1139</v>
      </c>
      <c r="F95" t="s">
        <v>1140</v>
      </c>
      <c r="G95" t="str">
        <f t="shared" si="3"/>
        <v>GT</v>
      </c>
      <c r="H95" s="55"/>
      <c r="I95" t="s">
        <v>1141</v>
      </c>
      <c r="K95" t="s">
        <v>1142</v>
      </c>
      <c r="S95">
        <v>2093</v>
      </c>
      <c r="V95" s="337"/>
      <c r="Z95" t="s">
        <v>1143</v>
      </c>
      <c r="AA95" t="s">
        <v>1144</v>
      </c>
    </row>
    <row r="96" spans="1:27" x14ac:dyDescent="0.25">
      <c r="A96" s="235" t="s">
        <v>1145</v>
      </c>
      <c r="B96" t="s">
        <v>1146</v>
      </c>
      <c r="C96" s="231" t="s">
        <v>1147</v>
      </c>
      <c r="D96" s="235" t="str">
        <f t="shared" si="2"/>
        <v>NACE C - 10.13 Production of meat and poultry meat products</v>
      </c>
      <c r="E96" s="232" t="s">
        <v>1148</v>
      </c>
      <c r="F96" t="s">
        <v>1149</v>
      </c>
      <c r="G96" t="str">
        <f t="shared" si="3"/>
        <v>GU</v>
      </c>
      <c r="H96" s="337"/>
      <c r="K96" t="s">
        <v>1150</v>
      </c>
      <c r="S96">
        <v>2094</v>
      </c>
      <c r="V96" s="337"/>
      <c r="Z96" t="s">
        <v>1151</v>
      </c>
      <c r="AA96" t="s">
        <v>1152</v>
      </c>
    </row>
    <row r="97" spans="1:27" x14ac:dyDescent="0.25">
      <c r="A97" s="234" t="s">
        <v>1153</v>
      </c>
      <c r="B97" t="s">
        <v>1154</v>
      </c>
      <c r="C97" s="234" t="s">
        <v>1155</v>
      </c>
      <c r="D97" s="234" t="str">
        <f t="shared" si="2"/>
        <v>NACE C - 10.2 Processing and preserving of fish, crustaceans and molluscs</v>
      </c>
      <c r="E97" s="232" t="s">
        <v>1156</v>
      </c>
      <c r="F97" t="s">
        <v>1157</v>
      </c>
      <c r="G97" t="str">
        <f t="shared" si="3"/>
        <v>GW</v>
      </c>
      <c r="H97" s="337"/>
      <c r="K97" t="s">
        <v>1158</v>
      </c>
      <c r="S97">
        <v>2095</v>
      </c>
      <c r="V97" s="337"/>
      <c r="Z97" t="s">
        <v>1159</v>
      </c>
      <c r="AA97" t="s">
        <v>1160</v>
      </c>
    </row>
    <row r="98" spans="1:27" x14ac:dyDescent="0.25">
      <c r="A98" s="235" t="s">
        <v>1161</v>
      </c>
      <c r="B98" t="s">
        <v>1162</v>
      </c>
      <c r="C98" s="234" t="s">
        <v>1163</v>
      </c>
      <c r="D98" s="235" t="str">
        <f t="shared" si="2"/>
        <v>NACE C - 10.20 Processing and preserving of fish, crustaceans and molluscs</v>
      </c>
      <c r="E98" s="232" t="s">
        <v>1164</v>
      </c>
      <c r="F98" t="s">
        <v>1165</v>
      </c>
      <c r="G98" t="str">
        <f t="shared" si="3"/>
        <v>GY</v>
      </c>
      <c r="H98" s="337"/>
      <c r="K98" t="s">
        <v>1166</v>
      </c>
      <c r="S98">
        <v>2096</v>
      </c>
      <c r="V98" s="55"/>
      <c r="Z98" t="s">
        <v>1167</v>
      </c>
      <c r="AA98" t="s">
        <v>1168</v>
      </c>
    </row>
    <row r="99" spans="1:27" x14ac:dyDescent="0.25">
      <c r="A99" s="234" t="s">
        <v>1169</v>
      </c>
      <c r="B99" t="s">
        <v>1170</v>
      </c>
      <c r="C99" s="234" t="s">
        <v>1171</v>
      </c>
      <c r="D99" s="234" t="str">
        <f t="shared" si="2"/>
        <v>NACE C - 10.3 Processing and preserving of fruit and vegetables</v>
      </c>
      <c r="E99" s="232" t="s">
        <v>1172</v>
      </c>
      <c r="F99" t="s">
        <v>1173</v>
      </c>
      <c r="G99" t="str">
        <f t="shared" si="3"/>
        <v>HK</v>
      </c>
      <c r="H99" s="55"/>
      <c r="K99" t="s">
        <v>1174</v>
      </c>
      <c r="S99">
        <v>2097</v>
      </c>
      <c r="V99" s="337"/>
      <c r="Z99" t="s">
        <v>1175</v>
      </c>
      <c r="AA99" t="s">
        <v>1176</v>
      </c>
    </row>
    <row r="100" spans="1:27" x14ac:dyDescent="0.25">
      <c r="A100" s="235" t="s">
        <v>1177</v>
      </c>
      <c r="B100" t="s">
        <v>1178</v>
      </c>
      <c r="C100" s="234" t="s">
        <v>1179</v>
      </c>
      <c r="D100" s="235" t="str">
        <f t="shared" si="2"/>
        <v>NACE C - 10.31 Processing and preserving of potatoes</v>
      </c>
      <c r="E100" s="232" t="s">
        <v>1180</v>
      </c>
      <c r="F100" t="s">
        <v>1181</v>
      </c>
      <c r="G100" t="str">
        <f t="shared" si="3"/>
        <v>HM</v>
      </c>
      <c r="H100" s="337"/>
      <c r="K100" t="s">
        <v>1182</v>
      </c>
      <c r="S100">
        <v>2098</v>
      </c>
      <c r="V100" s="337"/>
      <c r="Z100" t="s">
        <v>1183</v>
      </c>
      <c r="AA100" t="s">
        <v>1184</v>
      </c>
    </row>
    <row r="101" spans="1:27" x14ac:dyDescent="0.25">
      <c r="A101" s="235" t="s">
        <v>1185</v>
      </c>
      <c r="B101" t="s">
        <v>1186</v>
      </c>
      <c r="C101" s="234" t="s">
        <v>1187</v>
      </c>
      <c r="D101" s="235" t="str">
        <f t="shared" si="2"/>
        <v>NACE C - 10.32 Manufacture of fruit and vegetable juice</v>
      </c>
      <c r="E101" s="232" t="s">
        <v>1188</v>
      </c>
      <c r="F101" t="s">
        <v>1189</v>
      </c>
      <c r="G101" t="str">
        <f t="shared" si="3"/>
        <v>HN</v>
      </c>
      <c r="H101" s="337"/>
      <c r="K101" t="s">
        <v>1190</v>
      </c>
      <c r="S101">
        <v>2099</v>
      </c>
      <c r="V101" s="337"/>
      <c r="Z101" t="s">
        <v>1191</v>
      </c>
      <c r="AA101" t="s">
        <v>1192</v>
      </c>
    </row>
    <row r="102" spans="1:27" x14ac:dyDescent="0.25">
      <c r="A102" s="235" t="s">
        <v>1193</v>
      </c>
      <c r="B102" t="s">
        <v>1194</v>
      </c>
      <c r="C102" s="231" t="s">
        <v>1195</v>
      </c>
      <c r="D102" s="235" t="str">
        <f t="shared" si="2"/>
        <v>NACE C - 10.39 Other processing and preserving of fruit and vegetables</v>
      </c>
      <c r="E102" s="232" t="s">
        <v>1196</v>
      </c>
      <c r="F102" t="s">
        <v>1197</v>
      </c>
      <c r="G102" t="str">
        <f t="shared" si="3"/>
        <v>HR</v>
      </c>
      <c r="H102" s="337"/>
      <c r="K102" t="s">
        <v>1198</v>
      </c>
      <c r="S102">
        <v>2100</v>
      </c>
      <c r="V102" s="337"/>
      <c r="Z102" t="s">
        <v>1199</v>
      </c>
      <c r="AA102" t="s">
        <v>1200</v>
      </c>
    </row>
    <row r="103" spans="1:27" x14ac:dyDescent="0.25">
      <c r="A103" s="234" t="s">
        <v>1201</v>
      </c>
      <c r="B103" t="s">
        <v>1202</v>
      </c>
      <c r="C103" s="234" t="s">
        <v>1203</v>
      </c>
      <c r="D103" s="234" t="str">
        <f t="shared" si="2"/>
        <v>NACE C - 10.4 Manufacture of vegetable and animal oils and fats</v>
      </c>
      <c r="E103" s="232" t="s">
        <v>1204</v>
      </c>
      <c r="F103" t="s">
        <v>1205</v>
      </c>
      <c r="G103" t="str">
        <f t="shared" si="3"/>
        <v>HT</v>
      </c>
      <c r="H103" s="337"/>
      <c r="K103" t="s">
        <v>1206</v>
      </c>
      <c r="V103" s="337"/>
      <c r="Z103" t="s">
        <v>1207</v>
      </c>
      <c r="AA103" t="s">
        <v>1208</v>
      </c>
    </row>
    <row r="104" spans="1:27" x14ac:dyDescent="0.25">
      <c r="A104" s="235" t="s">
        <v>1209</v>
      </c>
      <c r="B104" t="s">
        <v>1210</v>
      </c>
      <c r="C104" s="234" t="s">
        <v>1211</v>
      </c>
      <c r="D104" s="235" t="str">
        <f t="shared" si="2"/>
        <v>NACE C - 10.41 Manufacture of oils and fats</v>
      </c>
      <c r="E104" s="232" t="s">
        <v>1212</v>
      </c>
      <c r="F104" t="s">
        <v>1213</v>
      </c>
      <c r="G104" t="str">
        <f t="shared" si="3"/>
        <v>HU</v>
      </c>
      <c r="H104" s="337"/>
      <c r="K104" t="s">
        <v>1214</v>
      </c>
      <c r="V104" s="337"/>
      <c r="Z104" t="s">
        <v>1215</v>
      </c>
      <c r="AA104" t="s">
        <v>1216</v>
      </c>
    </row>
    <row r="105" spans="1:27" x14ac:dyDescent="0.25">
      <c r="A105" s="235" t="s">
        <v>1217</v>
      </c>
      <c r="B105" t="s">
        <v>1218</v>
      </c>
      <c r="C105" s="234" t="s">
        <v>1219</v>
      </c>
      <c r="D105" s="235" t="str">
        <f t="shared" si="2"/>
        <v>NACE C - 10.42 Manufacture of margarine and similar edible fats</v>
      </c>
      <c r="E105" s="232" t="s">
        <v>1220</v>
      </c>
      <c r="F105" t="s">
        <v>1221</v>
      </c>
      <c r="G105" t="str">
        <f t="shared" si="3"/>
        <v>ID</v>
      </c>
      <c r="H105" s="337"/>
      <c r="K105" t="s">
        <v>1222</v>
      </c>
      <c r="V105" s="337"/>
      <c r="Z105" t="s">
        <v>1223</v>
      </c>
      <c r="AA105" t="s">
        <v>1224</v>
      </c>
    </row>
    <row r="106" spans="1:27" x14ac:dyDescent="0.25">
      <c r="A106" s="234" t="s">
        <v>1225</v>
      </c>
      <c r="B106" t="s">
        <v>1226</v>
      </c>
      <c r="C106" s="234" t="s">
        <v>1227</v>
      </c>
      <c r="D106" s="234" t="str">
        <f t="shared" si="2"/>
        <v>NACE C - 10.5 Manufacture of dairy products and edible ice</v>
      </c>
      <c r="E106" s="232" t="s">
        <v>1228</v>
      </c>
      <c r="F106" t="s">
        <v>1229</v>
      </c>
      <c r="G106" t="str">
        <f t="shared" si="3"/>
        <v>IE</v>
      </c>
      <c r="H106" s="337"/>
      <c r="K106" t="s">
        <v>1230</v>
      </c>
      <c r="V106" s="55"/>
      <c r="Z106" t="s">
        <v>1231</v>
      </c>
      <c r="AA106" t="s">
        <v>1232</v>
      </c>
    </row>
    <row r="107" spans="1:27" x14ac:dyDescent="0.25">
      <c r="A107" s="235" t="s">
        <v>1233</v>
      </c>
      <c r="B107" t="s">
        <v>1234</v>
      </c>
      <c r="C107" s="234" t="s">
        <v>1235</v>
      </c>
      <c r="D107" s="235" t="str">
        <f t="shared" si="2"/>
        <v>NACE C - 10.51 Manufacture of dairy products</v>
      </c>
      <c r="E107" s="232" t="s">
        <v>1236</v>
      </c>
      <c r="F107" t="s">
        <v>1237</v>
      </c>
      <c r="G107" t="str">
        <f t="shared" si="3"/>
        <v>IL</v>
      </c>
      <c r="H107" s="55"/>
      <c r="K107" t="s">
        <v>1238</v>
      </c>
      <c r="V107" s="337"/>
      <c r="Z107" t="s">
        <v>1239</v>
      </c>
      <c r="AA107" t="s">
        <v>1240</v>
      </c>
    </row>
    <row r="108" spans="1:27" x14ac:dyDescent="0.25">
      <c r="A108" s="235" t="s">
        <v>1241</v>
      </c>
      <c r="B108" t="s">
        <v>1242</v>
      </c>
      <c r="C108" s="234" t="s">
        <v>1243</v>
      </c>
      <c r="D108" s="235" t="str">
        <f t="shared" si="2"/>
        <v>NACE C - 10.52 Manufacture of ice cream and other edible ice</v>
      </c>
      <c r="E108" s="232" t="s">
        <v>1244</v>
      </c>
      <c r="F108" t="s">
        <v>1245</v>
      </c>
      <c r="G108" t="str">
        <f t="shared" si="3"/>
        <v>IM</v>
      </c>
      <c r="H108" s="337"/>
      <c r="K108" t="s">
        <v>1246</v>
      </c>
      <c r="V108" s="337"/>
      <c r="Z108" t="s">
        <v>1247</v>
      </c>
      <c r="AA108" t="s">
        <v>1248</v>
      </c>
    </row>
    <row r="109" spans="1:27" x14ac:dyDescent="0.25">
      <c r="A109" s="234" t="s">
        <v>1249</v>
      </c>
      <c r="B109" t="s">
        <v>1250</v>
      </c>
      <c r="C109" s="234" t="s">
        <v>1251</v>
      </c>
      <c r="D109" s="234" t="str">
        <f t="shared" si="2"/>
        <v>NACE C - 10.6 Manufacture of grain mill products, starches and starch products</v>
      </c>
      <c r="E109" s="232" t="s">
        <v>1252</v>
      </c>
      <c r="F109" t="s">
        <v>1253</v>
      </c>
      <c r="G109" t="str">
        <f t="shared" si="3"/>
        <v>IN</v>
      </c>
      <c r="H109" s="337"/>
      <c r="K109" t="s">
        <v>1254</v>
      </c>
      <c r="V109" s="55"/>
      <c r="Z109" t="s">
        <v>1255</v>
      </c>
      <c r="AA109" t="s">
        <v>1256</v>
      </c>
    </row>
    <row r="110" spans="1:27" x14ac:dyDescent="0.25">
      <c r="A110" s="235" t="s">
        <v>1257</v>
      </c>
      <c r="B110" t="s">
        <v>1258</v>
      </c>
      <c r="C110" s="231" t="s">
        <v>1259</v>
      </c>
      <c r="D110" s="235" t="str">
        <f t="shared" si="2"/>
        <v>NACE C - 10.61 Manufacture of grain mill products</v>
      </c>
      <c r="E110" s="232" t="s">
        <v>1260</v>
      </c>
      <c r="F110" t="s">
        <v>1261</v>
      </c>
      <c r="G110" t="str">
        <f t="shared" si="3"/>
        <v>IO</v>
      </c>
      <c r="H110" s="55"/>
      <c r="K110" t="s">
        <v>1262</v>
      </c>
      <c r="V110" s="337"/>
      <c r="Z110" t="s">
        <v>1263</v>
      </c>
      <c r="AA110" t="s">
        <v>1264</v>
      </c>
    </row>
    <row r="111" spans="1:27" x14ac:dyDescent="0.25">
      <c r="A111" s="235" t="s">
        <v>1265</v>
      </c>
      <c r="B111" t="s">
        <v>1266</v>
      </c>
      <c r="C111" s="234" t="s">
        <v>1267</v>
      </c>
      <c r="D111" s="235" t="str">
        <f t="shared" si="2"/>
        <v>NACE C - 10.62 Manufacture of starches and starch products</v>
      </c>
      <c r="E111" s="232" t="s">
        <v>1268</v>
      </c>
      <c r="F111" t="s">
        <v>1269</v>
      </c>
      <c r="G111" t="str">
        <f t="shared" si="3"/>
        <v>IQ</v>
      </c>
      <c r="H111" s="337"/>
      <c r="K111" t="s">
        <v>1270</v>
      </c>
      <c r="V111" s="337"/>
      <c r="Z111" t="s">
        <v>1271</v>
      </c>
      <c r="AA111" t="s">
        <v>1272</v>
      </c>
    </row>
    <row r="112" spans="1:27" x14ac:dyDescent="0.25">
      <c r="A112" s="234" t="s">
        <v>1273</v>
      </c>
      <c r="B112" t="s">
        <v>1274</v>
      </c>
      <c r="C112" s="234" t="s">
        <v>1275</v>
      </c>
      <c r="D112" s="234" t="str">
        <f t="shared" si="2"/>
        <v>NACE C - 10.7 Manufacture of bakery and farinaceous products</v>
      </c>
      <c r="E112" s="232" t="s">
        <v>1276</v>
      </c>
      <c r="F112" t="s">
        <v>1277</v>
      </c>
      <c r="G112" t="str">
        <f t="shared" si="3"/>
        <v>IR</v>
      </c>
      <c r="H112" s="337"/>
      <c r="K112" t="s">
        <v>1278</v>
      </c>
      <c r="V112" s="337"/>
      <c r="Z112" t="s">
        <v>1279</v>
      </c>
      <c r="AA112" t="s">
        <v>1280</v>
      </c>
    </row>
    <row r="113" spans="1:27" x14ac:dyDescent="0.25">
      <c r="A113" s="235" t="s">
        <v>1281</v>
      </c>
      <c r="B113" t="s">
        <v>1282</v>
      </c>
      <c r="C113" s="234" t="s">
        <v>1283</v>
      </c>
      <c r="D113" s="235" t="str">
        <f t="shared" si="2"/>
        <v>NACE C - 10.71 Manufacture of bread; manufacture of fresh pastry goods and cakes</v>
      </c>
      <c r="E113" s="232" t="s">
        <v>1284</v>
      </c>
      <c r="F113" t="s">
        <v>1285</v>
      </c>
      <c r="G113" t="str">
        <f t="shared" si="3"/>
        <v>IS</v>
      </c>
      <c r="H113" s="337"/>
      <c r="K113" t="s">
        <v>1286</v>
      </c>
      <c r="V113" s="337"/>
      <c r="Z113" t="s">
        <v>1287</v>
      </c>
      <c r="AA113" t="s">
        <v>1288</v>
      </c>
    </row>
    <row r="114" spans="1:27" x14ac:dyDescent="0.25">
      <c r="A114" s="235" t="s">
        <v>1289</v>
      </c>
      <c r="B114" t="s">
        <v>1290</v>
      </c>
      <c r="C114" s="234" t="s">
        <v>1291</v>
      </c>
      <c r="D114" s="235" t="str">
        <f t="shared" si="2"/>
        <v>NACE C - 10.72 Manufacture of rusks, biscuits, preserved pastries and cakes</v>
      </c>
      <c r="E114" s="232" t="s">
        <v>80</v>
      </c>
      <c r="F114" t="s">
        <v>1292</v>
      </c>
      <c r="G114" t="str">
        <f t="shared" si="3"/>
        <v>IT</v>
      </c>
      <c r="H114" s="337"/>
      <c r="K114" t="s">
        <v>1293</v>
      </c>
      <c r="V114" s="55"/>
      <c r="Z114" t="s">
        <v>1294</v>
      </c>
      <c r="AA114" t="s">
        <v>1295</v>
      </c>
    </row>
    <row r="115" spans="1:27" x14ac:dyDescent="0.25">
      <c r="A115" s="235" t="s">
        <v>1296</v>
      </c>
      <c r="B115" t="s">
        <v>1297</v>
      </c>
      <c r="C115" s="234" t="s">
        <v>1298</v>
      </c>
      <c r="D115" s="235" t="str">
        <f t="shared" si="2"/>
        <v>NACE C - 10.73 Manufacture of farinaceous products</v>
      </c>
      <c r="E115" s="232" t="s">
        <v>1299</v>
      </c>
      <c r="F115" t="s">
        <v>1300</v>
      </c>
      <c r="G115" t="str">
        <f t="shared" si="3"/>
        <v>JE</v>
      </c>
      <c r="H115" s="55"/>
      <c r="K115" t="s">
        <v>1301</v>
      </c>
      <c r="V115" s="337"/>
      <c r="Z115" t="s">
        <v>1302</v>
      </c>
      <c r="AA115" t="s">
        <v>1303</v>
      </c>
    </row>
    <row r="116" spans="1:27" x14ac:dyDescent="0.25">
      <c r="A116" s="234" t="s">
        <v>1304</v>
      </c>
      <c r="B116" t="s">
        <v>1305</v>
      </c>
      <c r="C116" s="234" t="s">
        <v>1306</v>
      </c>
      <c r="D116" s="234" t="str">
        <f t="shared" si="2"/>
        <v>NACE C - 10.8 Manufacture of other food products</v>
      </c>
      <c r="E116" s="232" t="s">
        <v>1307</v>
      </c>
      <c r="F116" t="s">
        <v>1308</v>
      </c>
      <c r="G116" t="str">
        <f t="shared" si="3"/>
        <v>JM</v>
      </c>
      <c r="H116" s="337"/>
      <c r="K116" t="s">
        <v>1309</v>
      </c>
      <c r="V116" s="337"/>
      <c r="Z116" t="s">
        <v>1310</v>
      </c>
      <c r="AA116" t="s">
        <v>1311</v>
      </c>
    </row>
    <row r="117" spans="1:27" x14ac:dyDescent="0.25">
      <c r="A117" s="235" t="s">
        <v>1312</v>
      </c>
      <c r="B117" t="s">
        <v>1313</v>
      </c>
      <c r="C117" s="234" t="s">
        <v>1314</v>
      </c>
      <c r="D117" s="235" t="str">
        <f t="shared" si="2"/>
        <v>NACE C - 10.81 Manufacture of sugar</v>
      </c>
      <c r="E117" s="232" t="s">
        <v>1315</v>
      </c>
      <c r="F117" t="s">
        <v>1316</v>
      </c>
      <c r="G117" t="str">
        <f t="shared" si="3"/>
        <v>JO</v>
      </c>
      <c r="H117" s="337"/>
      <c r="K117" t="s">
        <v>1317</v>
      </c>
      <c r="V117" s="337"/>
      <c r="Z117" t="s">
        <v>1318</v>
      </c>
      <c r="AA117" t="s">
        <v>1319</v>
      </c>
    </row>
    <row r="118" spans="1:27" x14ac:dyDescent="0.25">
      <c r="A118" s="235" t="s">
        <v>1320</v>
      </c>
      <c r="B118" t="s">
        <v>1321</v>
      </c>
      <c r="C118" s="231" t="s">
        <v>1322</v>
      </c>
      <c r="D118" s="235" t="str">
        <f t="shared" si="2"/>
        <v>NACE C - 10.82 Manufacture of cocoa, chocolate and sugar confectionery</v>
      </c>
      <c r="E118" s="232" t="s">
        <v>84</v>
      </c>
      <c r="F118" t="s">
        <v>1323</v>
      </c>
      <c r="G118" t="str">
        <f t="shared" si="3"/>
        <v>JP</v>
      </c>
      <c r="H118" s="337"/>
      <c r="K118" t="s">
        <v>1324</v>
      </c>
      <c r="V118" s="55"/>
      <c r="Z118" t="s">
        <v>1325</v>
      </c>
      <c r="AA118" t="s">
        <v>1326</v>
      </c>
    </row>
    <row r="119" spans="1:27" x14ac:dyDescent="0.25">
      <c r="A119" s="235" t="s">
        <v>1327</v>
      </c>
      <c r="B119" t="s">
        <v>1328</v>
      </c>
      <c r="C119" s="234" t="s">
        <v>1329</v>
      </c>
      <c r="D119" s="235" t="str">
        <f t="shared" si="2"/>
        <v>NACE C - 10.83 Processing of tea and coffee</v>
      </c>
      <c r="E119" s="232" t="s">
        <v>1330</v>
      </c>
      <c r="F119" t="s">
        <v>1331</v>
      </c>
      <c r="G119" t="str">
        <f t="shared" si="3"/>
        <v>KE</v>
      </c>
      <c r="H119" s="55"/>
      <c r="K119" t="s">
        <v>1332</v>
      </c>
      <c r="V119" s="337"/>
      <c r="Z119" t="s">
        <v>1333</v>
      </c>
      <c r="AA119" t="s">
        <v>1334</v>
      </c>
    </row>
    <row r="120" spans="1:27" x14ac:dyDescent="0.25">
      <c r="A120" s="235" t="s">
        <v>1335</v>
      </c>
      <c r="B120" t="s">
        <v>1336</v>
      </c>
      <c r="C120" s="234" t="s">
        <v>1337</v>
      </c>
      <c r="D120" s="235" t="str">
        <f t="shared" si="2"/>
        <v>NACE C - 10.84 Manufacture of condiments and seasonings</v>
      </c>
      <c r="E120" s="232" t="s">
        <v>1338</v>
      </c>
      <c r="F120" t="s">
        <v>1339</v>
      </c>
      <c r="G120" t="str">
        <f t="shared" si="3"/>
        <v>KG</v>
      </c>
      <c r="H120" s="337"/>
      <c r="K120" t="s">
        <v>1340</v>
      </c>
      <c r="V120" s="337"/>
      <c r="Z120" t="s">
        <v>1341</v>
      </c>
      <c r="AA120" t="s">
        <v>1342</v>
      </c>
    </row>
    <row r="121" spans="1:27" x14ac:dyDescent="0.25">
      <c r="A121" s="235" t="s">
        <v>1343</v>
      </c>
      <c r="B121" t="s">
        <v>1344</v>
      </c>
      <c r="C121" s="234" t="s">
        <v>1345</v>
      </c>
      <c r="D121" s="235" t="str">
        <f t="shared" si="2"/>
        <v>NACE C - 10.85 Manufacture of prepared meals and dishes</v>
      </c>
      <c r="E121" s="232" t="s">
        <v>1346</v>
      </c>
      <c r="F121" t="s">
        <v>1347</v>
      </c>
      <c r="G121" t="str">
        <f t="shared" si="3"/>
        <v>KH</v>
      </c>
      <c r="H121" s="337"/>
      <c r="K121" t="s">
        <v>1348</v>
      </c>
      <c r="V121" s="337"/>
      <c r="Z121" t="s">
        <v>1349</v>
      </c>
      <c r="AA121" t="s">
        <v>1350</v>
      </c>
    </row>
    <row r="122" spans="1:27" x14ac:dyDescent="0.25">
      <c r="A122" s="235" t="s">
        <v>1351</v>
      </c>
      <c r="B122" t="s">
        <v>1352</v>
      </c>
      <c r="C122" s="234" t="s">
        <v>1353</v>
      </c>
      <c r="D122" s="235" t="str">
        <f t="shared" si="2"/>
        <v>NACE C - 10.86 Manufacture of homogenised food preparations and dietetic food</v>
      </c>
      <c r="E122" s="232" t="s">
        <v>1354</v>
      </c>
      <c r="F122" t="s">
        <v>1355</v>
      </c>
      <c r="G122" t="str">
        <f t="shared" si="3"/>
        <v>KI</v>
      </c>
      <c r="H122" s="337"/>
      <c r="K122" t="s">
        <v>1356</v>
      </c>
      <c r="V122" s="337"/>
      <c r="Z122" t="s">
        <v>1357</v>
      </c>
      <c r="AA122" t="s">
        <v>1358</v>
      </c>
    </row>
    <row r="123" spans="1:27" x14ac:dyDescent="0.25">
      <c r="A123" s="235" t="s">
        <v>1359</v>
      </c>
      <c r="B123" t="s">
        <v>1360</v>
      </c>
      <c r="C123" s="234" t="s">
        <v>1361</v>
      </c>
      <c r="D123" s="235" t="str">
        <f t="shared" si="2"/>
        <v>NACE C - 10.89 Manufacture of other food products n.e.c.</v>
      </c>
      <c r="E123" s="232" t="s">
        <v>1362</v>
      </c>
      <c r="F123" t="s">
        <v>1363</v>
      </c>
      <c r="G123" t="str">
        <f t="shared" si="3"/>
        <v>KM</v>
      </c>
      <c r="H123" s="337"/>
      <c r="K123" t="s">
        <v>1364</v>
      </c>
      <c r="V123" s="337"/>
      <c r="Z123" t="s">
        <v>1365</v>
      </c>
      <c r="AA123" t="s">
        <v>1366</v>
      </c>
    </row>
    <row r="124" spans="1:27" x14ac:dyDescent="0.25">
      <c r="A124" s="234" t="s">
        <v>1367</v>
      </c>
      <c r="B124" t="s">
        <v>1368</v>
      </c>
      <c r="C124" s="234" t="s">
        <v>1369</v>
      </c>
      <c r="D124" s="234" t="str">
        <f t="shared" si="2"/>
        <v>NACE C - 10.9 Manufacture of prepared animal feeds</v>
      </c>
      <c r="E124" s="232" t="s">
        <v>1370</v>
      </c>
      <c r="F124" t="s">
        <v>1371</v>
      </c>
      <c r="G124" t="str">
        <f t="shared" si="3"/>
        <v>KN</v>
      </c>
      <c r="H124" s="337"/>
      <c r="K124" t="s">
        <v>1372</v>
      </c>
      <c r="V124" s="55"/>
      <c r="Z124" t="s">
        <v>1373</v>
      </c>
      <c r="AA124" t="s">
        <v>1374</v>
      </c>
    </row>
    <row r="125" spans="1:27" x14ac:dyDescent="0.25">
      <c r="A125" s="235" t="s">
        <v>1375</v>
      </c>
      <c r="B125" t="s">
        <v>1376</v>
      </c>
      <c r="C125" s="231" t="s">
        <v>1377</v>
      </c>
      <c r="D125" s="235" t="str">
        <f t="shared" si="2"/>
        <v>NACE C - 10.91 Manufacture of prepared feeds for farm animals</v>
      </c>
      <c r="E125" s="232" t="s">
        <v>1378</v>
      </c>
      <c r="F125" t="s">
        <v>1379</v>
      </c>
      <c r="G125" t="str">
        <f t="shared" si="3"/>
        <v>KP</v>
      </c>
      <c r="H125" s="55"/>
      <c r="K125" t="s">
        <v>1380</v>
      </c>
      <c r="V125" s="337"/>
      <c r="Z125" t="s">
        <v>1381</v>
      </c>
      <c r="AA125" t="s">
        <v>1382</v>
      </c>
    </row>
    <row r="126" spans="1:27" x14ac:dyDescent="0.25">
      <c r="A126" s="235" t="s">
        <v>1383</v>
      </c>
      <c r="B126" t="s">
        <v>1384</v>
      </c>
      <c r="C126" s="234" t="s">
        <v>1385</v>
      </c>
      <c r="D126" s="235" t="str">
        <f t="shared" si="2"/>
        <v>NACE C - 10.92 Manufacture of prepared pet foods</v>
      </c>
      <c r="E126" s="232" t="s">
        <v>94</v>
      </c>
      <c r="F126" t="s">
        <v>1386</v>
      </c>
      <c r="G126" t="str">
        <f t="shared" si="3"/>
        <v>KR</v>
      </c>
      <c r="H126" s="337"/>
      <c r="K126" t="s">
        <v>1387</v>
      </c>
      <c r="V126" s="337"/>
      <c r="Z126" t="s">
        <v>1388</v>
      </c>
      <c r="AA126" t="s">
        <v>1389</v>
      </c>
    </row>
    <row r="127" spans="1:27" x14ac:dyDescent="0.25">
      <c r="A127" s="231" t="s">
        <v>1390</v>
      </c>
      <c r="B127" t="s">
        <v>1391</v>
      </c>
      <c r="C127" s="234" t="s">
        <v>1392</v>
      </c>
      <c r="D127" s="231" t="str">
        <f t="shared" si="2"/>
        <v>NACE C - 11 Manufacture of beverages</v>
      </c>
      <c r="E127" s="232" t="s">
        <v>1393</v>
      </c>
      <c r="F127" t="s">
        <v>1394</v>
      </c>
      <c r="G127" t="str">
        <f t="shared" si="3"/>
        <v>KW</v>
      </c>
      <c r="H127" s="337"/>
      <c r="K127" t="s">
        <v>1395</v>
      </c>
      <c r="V127" s="337"/>
      <c r="Z127" t="s">
        <v>1396</v>
      </c>
      <c r="AA127" t="s">
        <v>1397</v>
      </c>
    </row>
    <row r="128" spans="1:27" x14ac:dyDescent="0.25">
      <c r="A128" s="234" t="s">
        <v>1398</v>
      </c>
      <c r="B128" t="s">
        <v>1399</v>
      </c>
      <c r="C128" s="234" t="s">
        <v>1400</v>
      </c>
      <c r="D128" s="234" t="str">
        <f t="shared" si="2"/>
        <v>NACE C - 11.0 Manufacture of beverages</v>
      </c>
      <c r="E128" s="232" t="s">
        <v>1401</v>
      </c>
      <c r="F128" t="s">
        <v>1402</v>
      </c>
      <c r="G128" t="str">
        <f t="shared" si="3"/>
        <v>KY</v>
      </c>
      <c r="H128" s="337"/>
      <c r="K128" t="s">
        <v>1403</v>
      </c>
      <c r="V128" s="337"/>
      <c r="Z128" t="s">
        <v>1404</v>
      </c>
      <c r="AA128" t="s">
        <v>1405</v>
      </c>
    </row>
    <row r="129" spans="1:27" x14ac:dyDescent="0.25">
      <c r="A129" s="235" t="s">
        <v>1406</v>
      </c>
      <c r="B129" t="s">
        <v>1407</v>
      </c>
      <c r="C129" s="234" t="s">
        <v>1408</v>
      </c>
      <c r="D129" s="235" t="str">
        <f t="shared" si="2"/>
        <v>NACE C - 11.01 Distilling, rectifying and blending of spirits</v>
      </c>
      <c r="E129" s="232" t="s">
        <v>1409</v>
      </c>
      <c r="F129" t="s">
        <v>1410</v>
      </c>
      <c r="G129" t="str">
        <f t="shared" si="3"/>
        <v>KZ</v>
      </c>
      <c r="H129" s="337"/>
      <c r="K129" t="s">
        <v>1411</v>
      </c>
      <c r="V129" s="337"/>
      <c r="Z129" t="s">
        <v>1412</v>
      </c>
      <c r="AA129" t="s">
        <v>1413</v>
      </c>
    </row>
    <row r="130" spans="1:27" x14ac:dyDescent="0.25">
      <c r="A130" s="235" t="s">
        <v>1414</v>
      </c>
      <c r="B130" t="s">
        <v>1415</v>
      </c>
      <c r="C130" s="234" t="s">
        <v>1416</v>
      </c>
      <c r="D130" s="235" t="str">
        <f t="shared" ref="D130:D193" si="4">_xlfn.CONCAT("NACE ", A130)</f>
        <v>NACE C - 11.02 Manufacture of wine from grape</v>
      </c>
      <c r="E130" s="232" t="s">
        <v>1417</v>
      </c>
      <c r="F130" t="s">
        <v>1418</v>
      </c>
      <c r="G130" t="str">
        <f t="shared" si="3"/>
        <v>LA</v>
      </c>
      <c r="H130" s="337"/>
      <c r="K130" t="s">
        <v>1419</v>
      </c>
      <c r="V130" s="55"/>
      <c r="Z130" t="s">
        <v>1420</v>
      </c>
      <c r="AA130" t="s">
        <v>1421</v>
      </c>
    </row>
    <row r="131" spans="1:27" x14ac:dyDescent="0.25">
      <c r="A131" s="235" t="s">
        <v>1422</v>
      </c>
      <c r="B131" t="s">
        <v>1423</v>
      </c>
      <c r="C131" s="231" t="s">
        <v>1424</v>
      </c>
      <c r="D131" s="235" t="str">
        <f t="shared" si="4"/>
        <v>NACE C - 11.03 Manufacture of cider and other fermented fruit beverages</v>
      </c>
      <c r="E131" s="232" t="s">
        <v>1425</v>
      </c>
      <c r="F131" t="s">
        <v>1426</v>
      </c>
      <c r="G131" t="str">
        <f t="shared" ref="G131:G194" si="5">RIGHT(F131,2)</f>
        <v>LB</v>
      </c>
      <c r="H131" s="55"/>
      <c r="K131" t="s">
        <v>1427</v>
      </c>
      <c r="V131" s="337"/>
      <c r="Z131" t="s">
        <v>1428</v>
      </c>
      <c r="AA131" t="s">
        <v>1429</v>
      </c>
    </row>
    <row r="132" spans="1:27" x14ac:dyDescent="0.25">
      <c r="A132" s="235" t="s">
        <v>1430</v>
      </c>
      <c r="B132" t="s">
        <v>1431</v>
      </c>
      <c r="C132" s="234" t="s">
        <v>1432</v>
      </c>
      <c r="D132" s="235" t="str">
        <f t="shared" si="4"/>
        <v>NACE C - 11.04 Manufacture of other non-distilled fermented beverages</v>
      </c>
      <c r="E132" s="232" t="s">
        <v>1433</v>
      </c>
      <c r="F132" t="s">
        <v>1434</v>
      </c>
      <c r="G132" t="str">
        <f t="shared" si="5"/>
        <v>LC</v>
      </c>
      <c r="H132" s="337"/>
      <c r="K132" t="s">
        <v>1435</v>
      </c>
      <c r="V132" s="337"/>
      <c r="Z132" t="s">
        <v>1436</v>
      </c>
      <c r="AA132" t="s">
        <v>1437</v>
      </c>
    </row>
    <row r="133" spans="1:27" x14ac:dyDescent="0.25">
      <c r="A133" s="235" t="s">
        <v>1438</v>
      </c>
      <c r="B133" t="s">
        <v>1439</v>
      </c>
      <c r="C133" s="234" t="s">
        <v>1440</v>
      </c>
      <c r="D133" s="235" t="str">
        <f t="shared" si="4"/>
        <v>NACE C - 11.05 Manufacture of beer</v>
      </c>
      <c r="E133" s="232" t="s">
        <v>1441</v>
      </c>
      <c r="F133" t="s">
        <v>1442</v>
      </c>
      <c r="G133" t="str">
        <f t="shared" si="5"/>
        <v>LI</v>
      </c>
      <c r="H133" s="337"/>
      <c r="K133" t="s">
        <v>1443</v>
      </c>
      <c r="V133" s="337"/>
      <c r="Z133" t="s">
        <v>1444</v>
      </c>
      <c r="AA133" t="s">
        <v>1445</v>
      </c>
    </row>
    <row r="134" spans="1:27" x14ac:dyDescent="0.25">
      <c r="A134" s="235" t="s">
        <v>1446</v>
      </c>
      <c r="B134" t="s">
        <v>1447</v>
      </c>
      <c r="C134" s="234" t="s">
        <v>1448</v>
      </c>
      <c r="D134" s="235" t="str">
        <f t="shared" si="4"/>
        <v>NACE C - 11.06 Manufacture of malt</v>
      </c>
      <c r="E134" s="232" t="s">
        <v>1449</v>
      </c>
      <c r="F134" t="s">
        <v>1450</v>
      </c>
      <c r="G134" t="str">
        <f t="shared" si="5"/>
        <v>LK</v>
      </c>
      <c r="H134" s="337"/>
      <c r="K134" t="s">
        <v>1451</v>
      </c>
      <c r="V134" s="55"/>
      <c r="AA134" t="s">
        <v>1452</v>
      </c>
    </row>
    <row r="135" spans="1:27" x14ac:dyDescent="0.25">
      <c r="A135" s="235" t="s">
        <v>1453</v>
      </c>
      <c r="B135" t="s">
        <v>1454</v>
      </c>
      <c r="C135" s="231" t="s">
        <v>1455</v>
      </c>
      <c r="D135" s="235" t="str">
        <f t="shared" si="4"/>
        <v>NACE C - 11.07 Manufacture of soft drinks and bottled waters</v>
      </c>
      <c r="E135" s="232" t="s">
        <v>1456</v>
      </c>
      <c r="F135" t="s">
        <v>1457</v>
      </c>
      <c r="G135" t="str">
        <f t="shared" si="5"/>
        <v>LR</v>
      </c>
      <c r="H135" s="55"/>
      <c r="K135" t="s">
        <v>1458</v>
      </c>
      <c r="V135" s="337"/>
      <c r="AA135" t="s">
        <v>1459</v>
      </c>
    </row>
    <row r="136" spans="1:27" x14ac:dyDescent="0.25">
      <c r="A136" s="231" t="s">
        <v>1460</v>
      </c>
      <c r="B136" t="s">
        <v>1461</v>
      </c>
      <c r="C136" s="234" t="s">
        <v>1462</v>
      </c>
      <c r="D136" s="231" t="str">
        <f t="shared" si="4"/>
        <v>NACE C - 12 Manufacture of tobacco products</v>
      </c>
      <c r="E136" s="232" t="s">
        <v>1463</v>
      </c>
      <c r="F136" t="s">
        <v>1464</v>
      </c>
      <c r="G136" t="str">
        <f t="shared" si="5"/>
        <v>LS</v>
      </c>
      <c r="H136" s="337"/>
      <c r="K136" t="s">
        <v>1465</v>
      </c>
      <c r="V136" s="337"/>
      <c r="AA136" t="s">
        <v>1466</v>
      </c>
    </row>
    <row r="137" spans="1:27" x14ac:dyDescent="0.25">
      <c r="A137" s="234" t="s">
        <v>1467</v>
      </c>
      <c r="B137" t="s">
        <v>1468</v>
      </c>
      <c r="C137" s="234" t="s">
        <v>1469</v>
      </c>
      <c r="D137" s="234" t="str">
        <f t="shared" si="4"/>
        <v>NACE C - 12.0 Manufacture of tobacco products</v>
      </c>
      <c r="E137" s="232" t="s">
        <v>1470</v>
      </c>
      <c r="F137" t="s">
        <v>1471</v>
      </c>
      <c r="G137" t="str">
        <f t="shared" si="5"/>
        <v>LT</v>
      </c>
      <c r="H137" s="337"/>
      <c r="K137" t="s">
        <v>1472</v>
      </c>
      <c r="V137" s="336"/>
      <c r="AA137" t="s">
        <v>1473</v>
      </c>
    </row>
    <row r="138" spans="1:27" x14ac:dyDescent="0.25">
      <c r="A138" s="235" t="s">
        <v>1474</v>
      </c>
      <c r="B138" t="s">
        <v>1475</v>
      </c>
      <c r="C138" s="234" t="s">
        <v>1476</v>
      </c>
      <c r="D138" s="235" t="str">
        <f t="shared" si="4"/>
        <v>NACE C - 12.00 Manufacture of tobacco products</v>
      </c>
      <c r="E138" s="232" t="s">
        <v>1477</v>
      </c>
      <c r="F138" t="s">
        <v>1478</v>
      </c>
      <c r="G138" t="str">
        <f t="shared" si="5"/>
        <v>LU</v>
      </c>
      <c r="H138" s="336"/>
      <c r="K138" t="s">
        <v>1479</v>
      </c>
      <c r="V138" s="337"/>
      <c r="AA138" t="s">
        <v>1480</v>
      </c>
    </row>
    <row r="139" spans="1:27" x14ac:dyDescent="0.25">
      <c r="A139" s="231" t="s">
        <v>1481</v>
      </c>
      <c r="B139" t="s">
        <v>1482</v>
      </c>
      <c r="C139" s="234" t="s">
        <v>1483</v>
      </c>
      <c r="D139" s="231" t="str">
        <f t="shared" si="4"/>
        <v>NACE C - 13 Manufacture of textiles</v>
      </c>
      <c r="E139" s="232" t="s">
        <v>1484</v>
      </c>
      <c r="F139" t="s">
        <v>1485</v>
      </c>
      <c r="G139" t="str">
        <f t="shared" si="5"/>
        <v>LV</v>
      </c>
      <c r="H139" s="337"/>
      <c r="K139" t="s">
        <v>1486</v>
      </c>
      <c r="V139" s="55"/>
      <c r="AA139" t="s">
        <v>1487</v>
      </c>
    </row>
    <row r="140" spans="1:27" x14ac:dyDescent="0.25">
      <c r="A140" s="234" t="s">
        <v>1488</v>
      </c>
      <c r="B140" t="s">
        <v>1489</v>
      </c>
      <c r="C140" s="234" t="s">
        <v>1490</v>
      </c>
      <c r="D140" s="234" t="str">
        <f t="shared" si="4"/>
        <v>NACE C - 13.1 Preparation and spinning of textile fibres</v>
      </c>
      <c r="E140" s="232" t="s">
        <v>1491</v>
      </c>
      <c r="F140" t="s">
        <v>1492</v>
      </c>
      <c r="G140" t="str">
        <f t="shared" si="5"/>
        <v>LY</v>
      </c>
      <c r="H140" s="55"/>
      <c r="K140" t="s">
        <v>1493</v>
      </c>
      <c r="V140" s="337"/>
      <c r="AA140" t="s">
        <v>1494</v>
      </c>
    </row>
    <row r="141" spans="1:27" x14ac:dyDescent="0.25">
      <c r="A141" s="235" t="s">
        <v>1495</v>
      </c>
      <c r="B141" t="s">
        <v>1496</v>
      </c>
      <c r="C141" s="231" t="s">
        <v>1497</v>
      </c>
      <c r="D141" s="235" t="str">
        <f t="shared" si="4"/>
        <v>NACE C - 13.10 Preparation and spinning of textile fibres</v>
      </c>
      <c r="E141" s="232" t="s">
        <v>1498</v>
      </c>
      <c r="F141" t="s">
        <v>1499</v>
      </c>
      <c r="G141" t="str">
        <f t="shared" si="5"/>
        <v>MA</v>
      </c>
      <c r="H141" s="337"/>
      <c r="K141" t="s">
        <v>1500</v>
      </c>
      <c r="V141" s="337"/>
      <c r="AA141" t="s">
        <v>1501</v>
      </c>
    </row>
    <row r="142" spans="1:27" x14ac:dyDescent="0.25">
      <c r="A142" s="234" t="s">
        <v>1502</v>
      </c>
      <c r="B142" t="s">
        <v>1503</v>
      </c>
      <c r="C142" s="234" t="s">
        <v>1504</v>
      </c>
      <c r="D142" s="234" t="str">
        <f t="shared" si="4"/>
        <v>NACE C - 13.2 Weaving of textiles</v>
      </c>
      <c r="E142" s="232" t="s">
        <v>1505</v>
      </c>
      <c r="F142" t="s">
        <v>1506</v>
      </c>
      <c r="G142" t="str">
        <f t="shared" si="5"/>
        <v>MC</v>
      </c>
      <c r="H142" s="337"/>
      <c r="K142" t="s">
        <v>1507</v>
      </c>
      <c r="V142" s="336"/>
      <c r="AA142" t="s">
        <v>1508</v>
      </c>
    </row>
    <row r="143" spans="1:27" x14ac:dyDescent="0.25">
      <c r="A143" s="235" t="s">
        <v>1509</v>
      </c>
      <c r="B143" t="s">
        <v>1510</v>
      </c>
      <c r="C143" s="231" t="s">
        <v>1511</v>
      </c>
      <c r="D143" s="235" t="str">
        <f t="shared" si="4"/>
        <v>NACE C - 13.20 Weaving of textiles</v>
      </c>
      <c r="E143" s="232" t="s">
        <v>1512</v>
      </c>
      <c r="F143" t="s">
        <v>1513</v>
      </c>
      <c r="G143" t="str">
        <f t="shared" si="5"/>
        <v>MD</v>
      </c>
      <c r="H143" s="336"/>
      <c r="K143" t="s">
        <v>1514</v>
      </c>
      <c r="V143" s="337"/>
      <c r="AA143" t="s">
        <v>1515</v>
      </c>
    </row>
    <row r="144" spans="1:27" x14ac:dyDescent="0.25">
      <c r="A144" s="234" t="s">
        <v>1516</v>
      </c>
      <c r="B144" t="s">
        <v>1517</v>
      </c>
      <c r="C144" s="234" t="s">
        <v>1518</v>
      </c>
      <c r="D144" s="234" t="str">
        <f t="shared" si="4"/>
        <v>NACE C - 13.3 Finishing of textiles</v>
      </c>
      <c r="E144" s="232" t="s">
        <v>1519</v>
      </c>
      <c r="F144" t="s">
        <v>1520</v>
      </c>
      <c r="G144" t="str">
        <f t="shared" si="5"/>
        <v>ME</v>
      </c>
      <c r="H144" s="337"/>
      <c r="K144" t="s">
        <v>1521</v>
      </c>
      <c r="V144" s="337"/>
      <c r="AA144" t="s">
        <v>1522</v>
      </c>
    </row>
    <row r="145" spans="1:27" x14ac:dyDescent="0.25">
      <c r="A145" s="235" t="s">
        <v>1523</v>
      </c>
      <c r="B145" t="s">
        <v>1524</v>
      </c>
      <c r="C145" s="234" t="s">
        <v>1525</v>
      </c>
      <c r="D145" s="235" t="str">
        <f t="shared" si="4"/>
        <v>NACE C - 13.30 Finishing of textiles</v>
      </c>
      <c r="E145" s="232" t="s">
        <v>1526</v>
      </c>
      <c r="F145" t="s">
        <v>1527</v>
      </c>
      <c r="G145" t="str">
        <f t="shared" si="5"/>
        <v>MF</v>
      </c>
      <c r="H145" s="337"/>
      <c r="K145" t="s">
        <v>1528</v>
      </c>
      <c r="V145" s="336"/>
      <c r="AA145" t="s">
        <v>1529</v>
      </c>
    </row>
    <row r="146" spans="1:27" x14ac:dyDescent="0.25">
      <c r="A146" s="234" t="s">
        <v>1530</v>
      </c>
      <c r="B146" t="s">
        <v>1531</v>
      </c>
      <c r="C146" s="234" t="s">
        <v>1532</v>
      </c>
      <c r="D146" s="234" t="str">
        <f t="shared" si="4"/>
        <v>NACE C - 13.9 Manufacture of other textiles</v>
      </c>
      <c r="E146" s="232" t="s">
        <v>1533</v>
      </c>
      <c r="F146" t="s">
        <v>1534</v>
      </c>
      <c r="G146" t="str">
        <f t="shared" si="5"/>
        <v>MG</v>
      </c>
      <c r="H146" s="336"/>
      <c r="K146" t="s">
        <v>1535</v>
      </c>
      <c r="V146" s="55"/>
      <c r="AA146" t="s">
        <v>1536</v>
      </c>
    </row>
    <row r="147" spans="1:27" x14ac:dyDescent="0.25">
      <c r="A147" s="235" t="s">
        <v>1537</v>
      </c>
      <c r="B147" t="s">
        <v>1538</v>
      </c>
      <c r="C147" s="234" t="s">
        <v>1539</v>
      </c>
      <c r="D147" s="235" t="str">
        <f t="shared" si="4"/>
        <v>NACE C - 13.91 Manufacture of knitted and crocheted fabrics</v>
      </c>
      <c r="E147" s="232" t="s">
        <v>1540</v>
      </c>
      <c r="F147" t="s">
        <v>1541</v>
      </c>
      <c r="G147" t="str">
        <f t="shared" si="5"/>
        <v>MH</v>
      </c>
      <c r="H147" s="55"/>
      <c r="K147" t="s">
        <v>1542</v>
      </c>
      <c r="V147" s="337"/>
      <c r="AA147" t="s">
        <v>1543</v>
      </c>
    </row>
    <row r="148" spans="1:27" x14ac:dyDescent="0.25">
      <c r="A148" s="235" t="s">
        <v>1544</v>
      </c>
      <c r="B148" t="s">
        <v>1545</v>
      </c>
      <c r="C148" s="234" t="s">
        <v>1546</v>
      </c>
      <c r="D148" s="235" t="str">
        <f t="shared" si="4"/>
        <v>NACE C - 13.92 Manufacture of household textiles and made-up furnishing articles</v>
      </c>
      <c r="E148" s="232" t="s">
        <v>1547</v>
      </c>
      <c r="F148" t="s">
        <v>1548</v>
      </c>
      <c r="G148" t="str">
        <f t="shared" si="5"/>
        <v>MK</v>
      </c>
      <c r="H148" s="337"/>
      <c r="K148" t="s">
        <v>1549</v>
      </c>
      <c r="V148" s="337"/>
      <c r="AA148" t="s">
        <v>1550</v>
      </c>
    </row>
    <row r="149" spans="1:27" x14ac:dyDescent="0.25">
      <c r="A149" s="235" t="s">
        <v>1551</v>
      </c>
      <c r="B149" t="s">
        <v>1552</v>
      </c>
      <c r="C149" s="234" t="s">
        <v>1553</v>
      </c>
      <c r="D149" s="235" t="str">
        <f t="shared" si="4"/>
        <v>NACE C - 13.93 Manufacture of carpets and rugs</v>
      </c>
      <c r="E149" s="232" t="s">
        <v>1554</v>
      </c>
      <c r="F149" t="s">
        <v>1555</v>
      </c>
      <c r="G149" t="str">
        <f t="shared" si="5"/>
        <v>ML</v>
      </c>
      <c r="H149" s="337"/>
      <c r="K149" t="s">
        <v>1556</v>
      </c>
      <c r="V149" s="337"/>
      <c r="AA149" t="s">
        <v>1557</v>
      </c>
    </row>
    <row r="150" spans="1:27" x14ac:dyDescent="0.25">
      <c r="A150" s="235" t="s">
        <v>1558</v>
      </c>
      <c r="B150" t="s">
        <v>1559</v>
      </c>
      <c r="C150" s="231" t="s">
        <v>1560</v>
      </c>
      <c r="D150" s="235" t="str">
        <f t="shared" si="4"/>
        <v>NACE C - 13.94 Manufacture of cordage, rope, twine and netting</v>
      </c>
      <c r="E150" s="232" t="s">
        <v>1561</v>
      </c>
      <c r="F150" t="s">
        <v>1562</v>
      </c>
      <c r="G150" t="str">
        <f t="shared" si="5"/>
        <v>MM</v>
      </c>
      <c r="H150" s="337"/>
      <c r="K150" t="s">
        <v>1563</v>
      </c>
      <c r="V150" s="336"/>
      <c r="AA150" t="s">
        <v>1564</v>
      </c>
    </row>
    <row r="151" spans="1:27" x14ac:dyDescent="0.25">
      <c r="A151" s="235" t="s">
        <v>1565</v>
      </c>
      <c r="B151" t="s">
        <v>1566</v>
      </c>
      <c r="C151" s="234" t="s">
        <v>1567</v>
      </c>
      <c r="D151" s="235" t="str">
        <f t="shared" si="4"/>
        <v>NACE C - 13.95 Manufacture of non-wovens and non-woven articles</v>
      </c>
      <c r="E151" s="232" t="s">
        <v>1568</v>
      </c>
      <c r="F151" t="s">
        <v>1569</v>
      </c>
      <c r="G151" t="str">
        <f t="shared" si="5"/>
        <v>MN</v>
      </c>
      <c r="H151" s="336"/>
      <c r="K151" t="s">
        <v>1570</v>
      </c>
      <c r="V151" s="336"/>
      <c r="AA151" t="s">
        <v>1571</v>
      </c>
    </row>
    <row r="152" spans="1:27" x14ac:dyDescent="0.25">
      <c r="A152" s="235" t="s">
        <v>1572</v>
      </c>
      <c r="B152" t="s">
        <v>1573</v>
      </c>
      <c r="C152" s="234" t="s">
        <v>1574</v>
      </c>
      <c r="D152" s="235" t="str">
        <f t="shared" si="4"/>
        <v>NACE C - 13.96 Manufacture of other technical and industrial textiles</v>
      </c>
      <c r="E152" s="232" t="s">
        <v>1575</v>
      </c>
      <c r="F152" t="s">
        <v>1576</v>
      </c>
      <c r="G152" t="str">
        <f t="shared" si="5"/>
        <v>MO</v>
      </c>
      <c r="H152" s="336"/>
      <c r="K152" t="s">
        <v>1577</v>
      </c>
      <c r="V152" s="336"/>
      <c r="AA152" t="s">
        <v>1578</v>
      </c>
    </row>
    <row r="153" spans="1:27" x14ac:dyDescent="0.25">
      <c r="A153" s="235" t="s">
        <v>1579</v>
      </c>
      <c r="B153" t="s">
        <v>1580</v>
      </c>
      <c r="C153" s="232" t="s">
        <v>1581</v>
      </c>
      <c r="D153" s="235" t="str">
        <f t="shared" si="4"/>
        <v>NACE C - 13.99 Manufacture of other textiles n.e.c.</v>
      </c>
      <c r="E153" s="232" t="s">
        <v>1582</v>
      </c>
      <c r="F153" t="s">
        <v>1583</v>
      </c>
      <c r="G153" t="str">
        <f t="shared" si="5"/>
        <v>MP</v>
      </c>
      <c r="H153" s="336"/>
      <c r="K153" t="s">
        <v>1584</v>
      </c>
      <c r="V153" s="337"/>
      <c r="AA153" t="s">
        <v>1585</v>
      </c>
    </row>
    <row r="154" spans="1:27" x14ac:dyDescent="0.25">
      <c r="A154" s="231" t="s">
        <v>1586</v>
      </c>
      <c r="B154" t="s">
        <v>1587</v>
      </c>
      <c r="C154" s="231" t="s">
        <v>1588</v>
      </c>
      <c r="D154" s="231" t="str">
        <f t="shared" si="4"/>
        <v>NACE C - 14 Manufacture of wearing apparel</v>
      </c>
      <c r="E154" s="232" t="s">
        <v>1589</v>
      </c>
      <c r="F154" t="s">
        <v>1590</v>
      </c>
      <c r="G154" t="str">
        <f t="shared" si="5"/>
        <v>MQ</v>
      </c>
      <c r="H154" s="337"/>
      <c r="K154" t="s">
        <v>1591</v>
      </c>
      <c r="V154" s="337"/>
      <c r="AA154" t="s">
        <v>1592</v>
      </c>
    </row>
    <row r="155" spans="1:27" x14ac:dyDescent="0.25">
      <c r="A155" s="234" t="s">
        <v>1593</v>
      </c>
      <c r="B155" t="s">
        <v>1594</v>
      </c>
      <c r="C155" s="234" t="s">
        <v>1595</v>
      </c>
      <c r="D155" s="234" t="str">
        <f t="shared" si="4"/>
        <v>NACE C - 14.1 Manufacture of knitted and crocheted apparel</v>
      </c>
      <c r="E155" s="232" t="s">
        <v>1596</v>
      </c>
      <c r="F155" t="s">
        <v>1597</v>
      </c>
      <c r="G155" t="str">
        <f t="shared" si="5"/>
        <v>MR</v>
      </c>
      <c r="H155" s="337"/>
      <c r="K155" t="s">
        <v>1598</v>
      </c>
      <c r="V155" s="55"/>
      <c r="AA155" t="s">
        <v>1599</v>
      </c>
    </row>
    <row r="156" spans="1:27" x14ac:dyDescent="0.25">
      <c r="A156" s="235" t="s">
        <v>1600</v>
      </c>
      <c r="B156" t="s">
        <v>1601</v>
      </c>
      <c r="C156" s="234" t="s">
        <v>1602</v>
      </c>
      <c r="D156" s="235" t="str">
        <f t="shared" si="4"/>
        <v>NACE C - 14.10 Manufacture of knitted and crocheted apparel</v>
      </c>
      <c r="E156" s="232" t="s">
        <v>1603</v>
      </c>
      <c r="F156" t="s">
        <v>1604</v>
      </c>
      <c r="G156" t="str">
        <f t="shared" si="5"/>
        <v>MS</v>
      </c>
      <c r="H156" s="55"/>
      <c r="K156" t="s">
        <v>1605</v>
      </c>
      <c r="V156" s="337"/>
      <c r="AA156" t="s">
        <v>1606</v>
      </c>
    </row>
    <row r="157" spans="1:27" x14ac:dyDescent="0.25">
      <c r="A157" s="234" t="s">
        <v>1607</v>
      </c>
      <c r="B157" t="s">
        <v>1608</v>
      </c>
      <c r="C157" s="234" t="s">
        <v>1609</v>
      </c>
      <c r="D157" s="234" t="str">
        <f t="shared" si="4"/>
        <v>NACE C - 14.2 Manufacture of other wearing apparel and accessories</v>
      </c>
      <c r="E157" s="232" t="s">
        <v>1610</v>
      </c>
      <c r="F157" t="s">
        <v>1611</v>
      </c>
      <c r="G157" t="str">
        <f t="shared" si="5"/>
        <v>MT</v>
      </c>
      <c r="H157" s="337"/>
      <c r="K157" t="s">
        <v>1612</v>
      </c>
      <c r="V157" s="55"/>
      <c r="AA157" t="s">
        <v>1613</v>
      </c>
    </row>
    <row r="158" spans="1:27" x14ac:dyDescent="0.25">
      <c r="A158" s="235" t="s">
        <v>1614</v>
      </c>
      <c r="B158" t="s">
        <v>1615</v>
      </c>
      <c r="C158" s="234" t="s">
        <v>1616</v>
      </c>
      <c r="D158" s="235" t="str">
        <f t="shared" si="4"/>
        <v>NACE C - 14.21 Manufacture of outerwear</v>
      </c>
      <c r="E158" s="232" t="s">
        <v>1617</v>
      </c>
      <c r="F158" t="s">
        <v>1618</v>
      </c>
      <c r="G158" t="str">
        <f t="shared" si="5"/>
        <v>MU</v>
      </c>
      <c r="H158" s="55"/>
      <c r="K158" t="s">
        <v>1619</v>
      </c>
      <c r="V158" s="55"/>
      <c r="AA158" t="s">
        <v>1620</v>
      </c>
    </row>
    <row r="159" spans="1:27" x14ac:dyDescent="0.25">
      <c r="A159" s="235" t="s">
        <v>1621</v>
      </c>
      <c r="B159" t="s">
        <v>1622</v>
      </c>
      <c r="C159" s="232" t="s">
        <v>1623</v>
      </c>
      <c r="D159" s="235" t="str">
        <f t="shared" si="4"/>
        <v>NACE C - 14.22 Manufacture of underwear</v>
      </c>
      <c r="E159" s="232" t="s">
        <v>1624</v>
      </c>
      <c r="F159" t="s">
        <v>1625</v>
      </c>
      <c r="G159" t="str">
        <f t="shared" si="5"/>
        <v>MV</v>
      </c>
      <c r="H159" s="55"/>
      <c r="K159" t="s">
        <v>1626</v>
      </c>
      <c r="V159" s="55"/>
      <c r="AA159" t="s">
        <v>1627</v>
      </c>
    </row>
    <row r="160" spans="1:27" x14ac:dyDescent="0.25">
      <c r="A160" s="235" t="s">
        <v>1628</v>
      </c>
      <c r="B160" t="s">
        <v>1629</v>
      </c>
      <c r="C160" s="231" t="s">
        <v>1630</v>
      </c>
      <c r="D160" s="235" t="str">
        <f t="shared" si="4"/>
        <v>NACE C - 14.23 Manufacture of workwear</v>
      </c>
      <c r="E160" s="232" t="s">
        <v>1631</v>
      </c>
      <c r="F160" t="s">
        <v>1632</v>
      </c>
      <c r="G160" t="str">
        <f t="shared" si="5"/>
        <v>MW</v>
      </c>
      <c r="H160" s="55"/>
      <c r="K160" t="s">
        <v>1633</v>
      </c>
      <c r="V160" s="55"/>
      <c r="AA160" t="s">
        <v>1634</v>
      </c>
    </row>
    <row r="161" spans="1:27" x14ac:dyDescent="0.25">
      <c r="A161" s="235" t="s">
        <v>1635</v>
      </c>
      <c r="B161" t="s">
        <v>1636</v>
      </c>
      <c r="C161" s="234" t="s">
        <v>1637</v>
      </c>
      <c r="D161" s="235" t="str">
        <f t="shared" si="4"/>
        <v>NACE C - 14.24 Manufacture of leather clothes and fur apparel</v>
      </c>
      <c r="E161" s="232" t="s">
        <v>1638</v>
      </c>
      <c r="F161" t="s">
        <v>1639</v>
      </c>
      <c r="G161" t="str">
        <f t="shared" si="5"/>
        <v>MX</v>
      </c>
      <c r="H161" s="55"/>
      <c r="K161" t="s">
        <v>1640</v>
      </c>
      <c r="AA161" t="s">
        <v>1641</v>
      </c>
    </row>
    <row r="162" spans="1:27" x14ac:dyDescent="0.25">
      <c r="A162" s="235" t="s">
        <v>1642</v>
      </c>
      <c r="B162" t="s">
        <v>1643</v>
      </c>
      <c r="C162" s="231" t="s">
        <v>1644</v>
      </c>
      <c r="D162" s="235" t="str">
        <f t="shared" si="4"/>
        <v>NACE C - 14.29 Manufacture of other wearing apparel and accessories n.e.c.</v>
      </c>
      <c r="E162" s="232" t="s">
        <v>1645</v>
      </c>
      <c r="F162" t="s">
        <v>1646</v>
      </c>
      <c r="G162" t="str">
        <f t="shared" si="5"/>
        <v>MY</v>
      </c>
      <c r="K162" t="s">
        <v>1647</v>
      </c>
      <c r="AA162" t="s">
        <v>1648</v>
      </c>
    </row>
    <row r="163" spans="1:27" x14ac:dyDescent="0.25">
      <c r="A163" s="231" t="s">
        <v>1649</v>
      </c>
      <c r="B163" t="s">
        <v>1650</v>
      </c>
      <c r="C163" s="234" t="s">
        <v>1651</v>
      </c>
      <c r="D163" s="231" t="str">
        <f t="shared" si="4"/>
        <v>NACE C - 15 Manufacture of leather and related products of other materials</v>
      </c>
      <c r="E163" s="232" t="s">
        <v>1652</v>
      </c>
      <c r="F163" t="s">
        <v>1653</v>
      </c>
      <c r="G163" t="str">
        <f t="shared" si="5"/>
        <v>MZ</v>
      </c>
      <c r="K163" t="s">
        <v>1654</v>
      </c>
      <c r="AA163" t="s">
        <v>1655</v>
      </c>
    </row>
    <row r="164" spans="1:27" x14ac:dyDescent="0.25">
      <c r="A164" s="234" t="s">
        <v>1656</v>
      </c>
      <c r="B164" t="s">
        <v>1657</v>
      </c>
      <c r="C164" s="231" t="s">
        <v>1658</v>
      </c>
      <c r="D164" s="234" t="str">
        <f t="shared" si="4"/>
        <v>NACE C - 15.1 Tanning, dyeing, dressing of leather and fur; manufacture of luggage, handbags, saddlery and harness</v>
      </c>
      <c r="E164" s="232" t="s">
        <v>1659</v>
      </c>
      <c r="F164" t="s">
        <v>1660</v>
      </c>
      <c r="G164" t="str">
        <f t="shared" si="5"/>
        <v>NA</v>
      </c>
      <c r="K164" t="s">
        <v>1661</v>
      </c>
      <c r="AA164" t="s">
        <v>1662</v>
      </c>
    </row>
    <row r="165" spans="1:27" x14ac:dyDescent="0.25">
      <c r="A165" s="235" t="s">
        <v>1663</v>
      </c>
      <c r="B165" t="s">
        <v>1664</v>
      </c>
      <c r="C165" s="234" t="s">
        <v>1665</v>
      </c>
      <c r="D165" s="235" t="str">
        <f t="shared" si="4"/>
        <v>NACE C - 15.11 Tanning, dressing, dyeing of leather and fur</v>
      </c>
      <c r="E165" s="232" t="s">
        <v>1666</v>
      </c>
      <c r="F165" t="s">
        <v>1667</v>
      </c>
      <c r="G165" t="str">
        <f t="shared" si="5"/>
        <v>NC</v>
      </c>
      <c r="K165" t="s">
        <v>1668</v>
      </c>
      <c r="AA165" t="s">
        <v>1669</v>
      </c>
    </row>
    <row r="166" spans="1:27" x14ac:dyDescent="0.25">
      <c r="A166" s="235" t="s">
        <v>1670</v>
      </c>
      <c r="B166" t="s">
        <v>1671</v>
      </c>
      <c r="C166" s="234" t="s">
        <v>1672</v>
      </c>
      <c r="D166" s="235" t="str">
        <f t="shared" si="4"/>
        <v>NACE C - 15.12 Manufacture of luggage, handbags, saddlery and harness of any material</v>
      </c>
      <c r="E166" s="232" t="s">
        <v>1673</v>
      </c>
      <c r="F166" t="s">
        <v>1674</v>
      </c>
      <c r="G166" t="str">
        <f t="shared" si="5"/>
        <v>NE</v>
      </c>
      <c r="K166" t="s">
        <v>1675</v>
      </c>
      <c r="AA166" t="s">
        <v>1676</v>
      </c>
    </row>
    <row r="167" spans="1:27" x14ac:dyDescent="0.25">
      <c r="A167" s="234" t="s">
        <v>1677</v>
      </c>
      <c r="B167" t="s">
        <v>1678</v>
      </c>
      <c r="C167" s="234" t="s">
        <v>1679</v>
      </c>
      <c r="D167" s="234" t="str">
        <f t="shared" si="4"/>
        <v>NACE C - 15.2 Manufacture of footwear</v>
      </c>
      <c r="E167" s="232" t="s">
        <v>1680</v>
      </c>
      <c r="F167" t="s">
        <v>1681</v>
      </c>
      <c r="G167" t="str">
        <f t="shared" si="5"/>
        <v>NF</v>
      </c>
      <c r="K167" t="s">
        <v>1682</v>
      </c>
      <c r="AA167" t="s">
        <v>1683</v>
      </c>
    </row>
    <row r="168" spans="1:27" x14ac:dyDescent="0.25">
      <c r="A168" s="235" t="s">
        <v>1684</v>
      </c>
      <c r="B168" t="s">
        <v>1685</v>
      </c>
      <c r="C168" s="231" t="s">
        <v>1686</v>
      </c>
      <c r="D168" s="235" t="str">
        <f t="shared" si="4"/>
        <v>NACE C - 15.20 Manufacture of footwear</v>
      </c>
      <c r="E168" s="232" t="s">
        <v>1687</v>
      </c>
      <c r="F168" t="s">
        <v>1688</v>
      </c>
      <c r="G168" t="str">
        <f t="shared" si="5"/>
        <v>NG</v>
      </c>
      <c r="K168" t="s">
        <v>1689</v>
      </c>
      <c r="AA168" t="s">
        <v>1690</v>
      </c>
    </row>
    <row r="169" spans="1:27" x14ac:dyDescent="0.25">
      <c r="A169" s="231" t="s">
        <v>1691</v>
      </c>
      <c r="B169" t="s">
        <v>1692</v>
      </c>
      <c r="C169" s="234" t="s">
        <v>1693</v>
      </c>
      <c r="D169" s="231" t="str">
        <f t="shared" si="4"/>
        <v>NACE C - 16 Manufacture of wood and of products of wood and cork, except furniture; manufacture of articles of straw and plaiting materials</v>
      </c>
      <c r="E169" s="232" t="s">
        <v>1694</v>
      </c>
      <c r="F169" t="s">
        <v>1695</v>
      </c>
      <c r="G169" t="str">
        <f t="shared" si="5"/>
        <v>NI</v>
      </c>
      <c r="K169" t="s">
        <v>1696</v>
      </c>
      <c r="AA169" t="s">
        <v>1697</v>
      </c>
    </row>
    <row r="170" spans="1:27" x14ac:dyDescent="0.25">
      <c r="A170" s="234" t="s">
        <v>1698</v>
      </c>
      <c r="B170" t="s">
        <v>1699</v>
      </c>
      <c r="C170" s="232" t="s">
        <v>1700</v>
      </c>
      <c r="D170" s="234" t="str">
        <f t="shared" si="4"/>
        <v>NACE C - 16.1 Sawmilling and planing of wood; processing and finishing of wood</v>
      </c>
      <c r="E170" s="232" t="s">
        <v>160</v>
      </c>
      <c r="F170" t="s">
        <v>1701</v>
      </c>
      <c r="G170" t="str">
        <f t="shared" si="5"/>
        <v>NL</v>
      </c>
      <c r="K170" t="s">
        <v>1702</v>
      </c>
      <c r="AA170" t="s">
        <v>1703</v>
      </c>
    </row>
    <row r="171" spans="1:27" x14ac:dyDescent="0.25">
      <c r="A171" s="235" t="s">
        <v>1704</v>
      </c>
      <c r="B171" t="s">
        <v>1705</v>
      </c>
      <c r="C171" s="231" t="s">
        <v>1706</v>
      </c>
      <c r="D171" s="235" t="str">
        <f t="shared" si="4"/>
        <v>NACE C - 16.11 Sawmilling and planing of wood</v>
      </c>
      <c r="E171" s="232" t="s">
        <v>1707</v>
      </c>
      <c r="F171" t="s">
        <v>1708</v>
      </c>
      <c r="G171" t="str">
        <f t="shared" si="5"/>
        <v>NO</v>
      </c>
      <c r="K171" t="s">
        <v>1709</v>
      </c>
    </row>
    <row r="172" spans="1:27" x14ac:dyDescent="0.25">
      <c r="A172" s="235" t="s">
        <v>1710</v>
      </c>
      <c r="B172" t="s">
        <v>1711</v>
      </c>
      <c r="C172" s="234" t="s">
        <v>1712</v>
      </c>
      <c r="D172" s="235" t="str">
        <f t="shared" si="4"/>
        <v>NACE C - 16.12 Processing and finishing of wood</v>
      </c>
      <c r="E172" s="232" t="s">
        <v>1713</v>
      </c>
      <c r="F172" t="s">
        <v>1714</v>
      </c>
      <c r="G172" t="str">
        <f t="shared" si="5"/>
        <v>NP</v>
      </c>
      <c r="K172" t="s">
        <v>1715</v>
      </c>
    </row>
    <row r="173" spans="1:27" x14ac:dyDescent="0.25">
      <c r="A173" s="234" t="s">
        <v>1716</v>
      </c>
      <c r="B173" t="s">
        <v>1717</v>
      </c>
      <c r="C173" s="231" t="s">
        <v>1718</v>
      </c>
      <c r="D173" s="234" t="str">
        <f t="shared" si="4"/>
        <v>NACE C - 16.2 Manufacture of products of wood, cork, straw and plaiting materials</v>
      </c>
      <c r="E173" s="232" t="s">
        <v>1719</v>
      </c>
      <c r="F173" t="s">
        <v>1720</v>
      </c>
      <c r="G173" t="str">
        <f t="shared" si="5"/>
        <v>NR</v>
      </c>
      <c r="K173" t="s">
        <v>1721</v>
      </c>
    </row>
    <row r="174" spans="1:27" x14ac:dyDescent="0.25">
      <c r="A174" s="235" t="s">
        <v>1722</v>
      </c>
      <c r="B174" t="s">
        <v>1723</v>
      </c>
      <c r="C174" s="234" t="s">
        <v>1724</v>
      </c>
      <c r="D174" s="235" t="str">
        <f t="shared" si="4"/>
        <v>NACE C - 16.21 Manufacture of veneer sheets and wood-based panels</v>
      </c>
      <c r="E174" s="232" t="s">
        <v>1725</v>
      </c>
      <c r="F174" t="s">
        <v>1726</v>
      </c>
      <c r="G174" t="str">
        <f t="shared" si="5"/>
        <v>NT</v>
      </c>
      <c r="K174" t="s">
        <v>1727</v>
      </c>
    </row>
    <row r="175" spans="1:27" x14ac:dyDescent="0.25">
      <c r="A175" s="235" t="s">
        <v>1728</v>
      </c>
      <c r="B175" t="s">
        <v>1729</v>
      </c>
      <c r="C175" s="234" t="s">
        <v>1730</v>
      </c>
      <c r="D175" s="235" t="str">
        <f t="shared" si="4"/>
        <v>NACE C - 16.22 Manufacture of assembled parquet floors</v>
      </c>
      <c r="E175" s="232" t="s">
        <v>1731</v>
      </c>
      <c r="F175" t="s">
        <v>1732</v>
      </c>
      <c r="G175" t="str">
        <f t="shared" si="5"/>
        <v>NU</v>
      </c>
      <c r="K175" t="s">
        <v>1733</v>
      </c>
    </row>
    <row r="176" spans="1:27" x14ac:dyDescent="0.25">
      <c r="A176" s="235" t="s">
        <v>1734</v>
      </c>
      <c r="B176" t="s">
        <v>1735</v>
      </c>
      <c r="C176" s="234" t="s">
        <v>1736</v>
      </c>
      <c r="D176" s="235" t="str">
        <f t="shared" si="4"/>
        <v>NACE C - 16.23 Manufacture of other builders’ carpentry and joinery</v>
      </c>
      <c r="E176" s="232" t="s">
        <v>1737</v>
      </c>
      <c r="F176" t="s">
        <v>1738</v>
      </c>
      <c r="G176" t="str">
        <f t="shared" si="5"/>
        <v>NZ</v>
      </c>
      <c r="K176" t="s">
        <v>1739</v>
      </c>
    </row>
    <row r="177" spans="1:11" x14ac:dyDescent="0.25">
      <c r="A177" s="235" t="s">
        <v>1740</v>
      </c>
      <c r="B177" t="s">
        <v>1741</v>
      </c>
      <c r="C177" s="231" t="s">
        <v>1742</v>
      </c>
      <c r="D177" s="235" t="str">
        <f t="shared" si="4"/>
        <v>NACE C - 16.24 Manufacture of wooden containers</v>
      </c>
      <c r="E177" s="232" t="s">
        <v>1743</v>
      </c>
      <c r="F177" t="s">
        <v>1744</v>
      </c>
      <c r="G177" t="str">
        <f t="shared" si="5"/>
        <v>OM</v>
      </c>
      <c r="K177" t="s">
        <v>1745</v>
      </c>
    </row>
    <row r="178" spans="1:11" x14ac:dyDescent="0.25">
      <c r="A178" s="235" t="s">
        <v>1746</v>
      </c>
      <c r="B178" t="s">
        <v>1747</v>
      </c>
      <c r="C178" s="234" t="s">
        <v>1748</v>
      </c>
      <c r="D178" s="235" t="str">
        <f t="shared" si="4"/>
        <v>NACE C - 16.25 Manufacture of doors and windows of wood</v>
      </c>
      <c r="E178" s="232" t="s">
        <v>1749</v>
      </c>
      <c r="F178" t="s">
        <v>1750</v>
      </c>
      <c r="G178" t="str">
        <f t="shared" si="5"/>
        <v>PA</v>
      </c>
      <c r="K178" t="s">
        <v>1751</v>
      </c>
    </row>
    <row r="179" spans="1:11" x14ac:dyDescent="0.25">
      <c r="A179" s="235" t="s">
        <v>1752</v>
      </c>
      <c r="B179" t="s">
        <v>1753</v>
      </c>
      <c r="C179" s="234" t="s">
        <v>1754</v>
      </c>
      <c r="D179" s="235" t="str">
        <f t="shared" si="4"/>
        <v>NACE C - 16.26 Manufacture of solid fuels from vegetable biomass</v>
      </c>
      <c r="E179" s="232" t="s">
        <v>1755</v>
      </c>
      <c r="F179" t="s">
        <v>1756</v>
      </c>
      <c r="G179" t="str">
        <f t="shared" si="5"/>
        <v>PE</v>
      </c>
      <c r="K179" t="s">
        <v>1757</v>
      </c>
    </row>
    <row r="180" spans="1:11" x14ac:dyDescent="0.25">
      <c r="A180" s="235" t="s">
        <v>1758</v>
      </c>
      <c r="B180" t="s">
        <v>1759</v>
      </c>
      <c r="C180" s="234" t="s">
        <v>1760</v>
      </c>
      <c r="D180" s="235" t="str">
        <f t="shared" si="4"/>
        <v>NACE C - 16.27 Finishing of wooden products</v>
      </c>
      <c r="E180" s="232" t="s">
        <v>1761</v>
      </c>
      <c r="F180" t="s">
        <v>1762</v>
      </c>
      <c r="G180" t="str">
        <f t="shared" si="5"/>
        <v>PF</v>
      </c>
      <c r="K180" t="s">
        <v>1763</v>
      </c>
    </row>
    <row r="181" spans="1:11" x14ac:dyDescent="0.25">
      <c r="A181" s="235" t="s">
        <v>1764</v>
      </c>
      <c r="B181" t="s">
        <v>1765</v>
      </c>
      <c r="C181" s="234" t="s">
        <v>1766</v>
      </c>
      <c r="D181" s="235" t="str">
        <f t="shared" si="4"/>
        <v>NACE C - 16.28 Manufacture of other products of wood and articles of cork, straw and plaiting materials</v>
      </c>
      <c r="E181" s="232" t="s">
        <v>1767</v>
      </c>
      <c r="F181" t="s">
        <v>1768</v>
      </c>
      <c r="G181" t="str">
        <f t="shared" si="5"/>
        <v>PG</v>
      </c>
      <c r="K181" t="s">
        <v>1769</v>
      </c>
    </row>
    <row r="182" spans="1:11" x14ac:dyDescent="0.25">
      <c r="A182" s="231" t="s">
        <v>1770</v>
      </c>
      <c r="B182" t="s">
        <v>1771</v>
      </c>
      <c r="C182" s="234" t="s">
        <v>1772</v>
      </c>
      <c r="D182" s="231" t="str">
        <f t="shared" si="4"/>
        <v>NACE C - 17 Manufacture of paper and paper products</v>
      </c>
      <c r="E182" s="232" t="s">
        <v>1773</v>
      </c>
      <c r="F182" t="s">
        <v>1774</v>
      </c>
      <c r="G182" t="str">
        <f t="shared" si="5"/>
        <v>PH</v>
      </c>
      <c r="K182" t="s">
        <v>1775</v>
      </c>
    </row>
    <row r="183" spans="1:11" x14ac:dyDescent="0.25">
      <c r="A183" s="234" t="s">
        <v>1776</v>
      </c>
      <c r="B183" t="s">
        <v>1777</v>
      </c>
      <c r="C183" s="234" t="s">
        <v>1778</v>
      </c>
      <c r="D183" s="234" t="str">
        <f t="shared" si="4"/>
        <v>NACE C - 17.1 Manufacture of pulp, paper and paperboard</v>
      </c>
      <c r="E183" s="232" t="s">
        <v>1779</v>
      </c>
      <c r="F183" t="s">
        <v>1780</v>
      </c>
      <c r="G183" t="str">
        <f t="shared" si="5"/>
        <v>PK</v>
      </c>
      <c r="K183" t="s">
        <v>1781</v>
      </c>
    </row>
    <row r="184" spans="1:11" x14ac:dyDescent="0.25">
      <c r="A184" s="235" t="s">
        <v>1782</v>
      </c>
      <c r="B184" t="s">
        <v>1783</v>
      </c>
      <c r="C184" s="234" t="s">
        <v>1784</v>
      </c>
      <c r="D184" s="235" t="str">
        <f t="shared" si="4"/>
        <v>NACE C - 17.11 Manufacture of pulp</v>
      </c>
      <c r="E184" s="232" t="s">
        <v>1785</v>
      </c>
      <c r="F184" t="s">
        <v>1786</v>
      </c>
      <c r="G184" t="str">
        <f t="shared" si="5"/>
        <v>PL</v>
      </c>
      <c r="K184" t="s">
        <v>1787</v>
      </c>
    </row>
    <row r="185" spans="1:11" x14ac:dyDescent="0.25">
      <c r="A185" s="235" t="s">
        <v>1788</v>
      </c>
      <c r="B185" t="s">
        <v>1789</v>
      </c>
      <c r="C185" s="232" t="s">
        <v>1790</v>
      </c>
      <c r="D185" s="235" t="str">
        <f t="shared" si="4"/>
        <v>NACE C - 17.12 Manufacture of paper and paperboard</v>
      </c>
      <c r="E185" s="232" t="s">
        <v>1791</v>
      </c>
      <c r="F185" t="s">
        <v>1792</v>
      </c>
      <c r="G185" t="str">
        <f t="shared" si="5"/>
        <v>PM</v>
      </c>
      <c r="K185" t="s">
        <v>1793</v>
      </c>
    </row>
    <row r="186" spans="1:11" x14ac:dyDescent="0.25">
      <c r="A186" s="234" t="s">
        <v>1794</v>
      </c>
      <c r="B186" t="s">
        <v>1795</v>
      </c>
      <c r="C186" s="231" t="s">
        <v>1796</v>
      </c>
      <c r="D186" s="234" t="str">
        <f t="shared" si="4"/>
        <v>NACE C - 17.2 Manufacture of articles of paper and paperboard</v>
      </c>
      <c r="E186" s="232" t="s">
        <v>1797</v>
      </c>
      <c r="F186" t="s">
        <v>1798</v>
      </c>
      <c r="G186" t="str">
        <f t="shared" si="5"/>
        <v>PN</v>
      </c>
      <c r="K186" t="s">
        <v>1799</v>
      </c>
    </row>
    <row r="187" spans="1:11" x14ac:dyDescent="0.25">
      <c r="A187" s="235" t="s">
        <v>1800</v>
      </c>
      <c r="B187" t="s">
        <v>1801</v>
      </c>
      <c r="C187" s="234" t="s">
        <v>1802</v>
      </c>
      <c r="D187" s="235" t="str">
        <f t="shared" si="4"/>
        <v>NACE C - 17.21 Manufacture of corrugated paper, paperboard and containers of paper and paperboard</v>
      </c>
      <c r="E187" s="232" t="s">
        <v>1803</v>
      </c>
      <c r="F187" t="s">
        <v>1804</v>
      </c>
      <c r="G187" t="str">
        <f t="shared" si="5"/>
        <v>PR</v>
      </c>
      <c r="K187" t="s">
        <v>1805</v>
      </c>
    </row>
    <row r="188" spans="1:11" x14ac:dyDescent="0.25">
      <c r="A188" s="235" t="s">
        <v>1806</v>
      </c>
      <c r="B188" t="s">
        <v>1807</v>
      </c>
      <c r="C188" s="234" t="s">
        <v>1808</v>
      </c>
      <c r="D188" s="235" t="str">
        <f t="shared" si="4"/>
        <v>NACE C - 17.22 Manufacture of household and sanitary goods and of toilet requisites</v>
      </c>
      <c r="E188" s="232" t="s">
        <v>1809</v>
      </c>
      <c r="F188" t="s">
        <v>1810</v>
      </c>
      <c r="G188" t="str">
        <f t="shared" si="5"/>
        <v>PS</v>
      </c>
      <c r="K188" t="s">
        <v>1811</v>
      </c>
    </row>
    <row r="189" spans="1:11" x14ac:dyDescent="0.25">
      <c r="A189" s="235" t="s">
        <v>1812</v>
      </c>
      <c r="B189" t="s">
        <v>1813</v>
      </c>
      <c r="C189" s="234" t="s">
        <v>1814</v>
      </c>
      <c r="D189" s="235" t="str">
        <f t="shared" si="4"/>
        <v>NACE C - 17.23 Manufacture of paper stationery</v>
      </c>
      <c r="E189" s="232" t="s">
        <v>1815</v>
      </c>
      <c r="F189" t="s">
        <v>1816</v>
      </c>
      <c r="G189" t="str">
        <f t="shared" si="5"/>
        <v>PT</v>
      </c>
      <c r="K189" t="s">
        <v>1817</v>
      </c>
    </row>
    <row r="190" spans="1:11" x14ac:dyDescent="0.25">
      <c r="A190" s="235" t="s">
        <v>1818</v>
      </c>
      <c r="B190" t="s">
        <v>1819</v>
      </c>
      <c r="C190" s="234" t="s">
        <v>1820</v>
      </c>
      <c r="D190" s="235" t="str">
        <f t="shared" si="4"/>
        <v>NACE C - 17.24 Manufacture of wallpaper</v>
      </c>
      <c r="E190" s="232" t="s">
        <v>1821</v>
      </c>
      <c r="F190" t="s">
        <v>1822</v>
      </c>
      <c r="G190" t="str">
        <f t="shared" si="5"/>
        <v>PW</v>
      </c>
      <c r="K190" t="s">
        <v>1823</v>
      </c>
    </row>
    <row r="191" spans="1:11" x14ac:dyDescent="0.25">
      <c r="A191" s="235" t="s">
        <v>1824</v>
      </c>
      <c r="B191" t="s">
        <v>1825</v>
      </c>
      <c r="C191" s="234" t="s">
        <v>1826</v>
      </c>
      <c r="D191" s="235" t="str">
        <f t="shared" si="4"/>
        <v>NACE C - 17.25 Manufacture of other articles of paper and paperboard</v>
      </c>
      <c r="E191" s="232" t="s">
        <v>1827</v>
      </c>
      <c r="F191" t="s">
        <v>1828</v>
      </c>
      <c r="G191" t="str">
        <f t="shared" si="5"/>
        <v>PY</v>
      </c>
      <c r="K191" t="s">
        <v>1829</v>
      </c>
    </row>
    <row r="192" spans="1:11" x14ac:dyDescent="0.25">
      <c r="A192" s="231" t="s">
        <v>1830</v>
      </c>
      <c r="B192" t="s">
        <v>1831</v>
      </c>
      <c r="C192" s="234" t="s">
        <v>1832</v>
      </c>
      <c r="D192" s="231" t="str">
        <f t="shared" si="4"/>
        <v>NACE C - 18 Printing and reproduction of recorded media</v>
      </c>
      <c r="E192" s="232" t="s">
        <v>1833</v>
      </c>
      <c r="F192" t="s">
        <v>1834</v>
      </c>
      <c r="G192" t="str">
        <f t="shared" si="5"/>
        <v>QA</v>
      </c>
      <c r="K192" t="s">
        <v>1835</v>
      </c>
    </row>
    <row r="193" spans="1:11" x14ac:dyDescent="0.25">
      <c r="A193" s="234" t="s">
        <v>1836</v>
      </c>
      <c r="B193" t="s">
        <v>1837</v>
      </c>
      <c r="C193" s="234" t="s">
        <v>1838</v>
      </c>
      <c r="D193" s="234" t="str">
        <f t="shared" si="4"/>
        <v>NACE C - 18.1 Printing and service activities related to printing</v>
      </c>
      <c r="E193" s="232" t="s">
        <v>1839</v>
      </c>
      <c r="F193" t="s">
        <v>1840</v>
      </c>
      <c r="G193" t="str">
        <f t="shared" si="5"/>
        <v>RE</v>
      </c>
      <c r="K193" t="s">
        <v>1841</v>
      </c>
    </row>
    <row r="194" spans="1:11" x14ac:dyDescent="0.25">
      <c r="A194" s="235" t="s">
        <v>1842</v>
      </c>
      <c r="B194" t="s">
        <v>1843</v>
      </c>
      <c r="C194" s="234" t="s">
        <v>1844</v>
      </c>
      <c r="D194" s="235" t="str">
        <f t="shared" ref="D194:D257" si="6">_xlfn.CONCAT("NACE ", A194)</f>
        <v>NACE C - 18.11 Printing of newspapers</v>
      </c>
      <c r="E194" s="232" t="s">
        <v>1845</v>
      </c>
      <c r="F194" t="s">
        <v>1846</v>
      </c>
      <c r="G194" t="str">
        <f t="shared" si="5"/>
        <v>RO</v>
      </c>
      <c r="K194" t="s">
        <v>1847</v>
      </c>
    </row>
    <row r="195" spans="1:11" x14ac:dyDescent="0.25">
      <c r="A195" s="235" t="s">
        <v>1848</v>
      </c>
      <c r="B195" t="s">
        <v>1849</v>
      </c>
      <c r="C195" s="234" t="s">
        <v>1850</v>
      </c>
      <c r="D195" s="235" t="str">
        <f t="shared" si="6"/>
        <v>NACE C - 18.12 Other printing</v>
      </c>
      <c r="E195" s="232" t="s">
        <v>1851</v>
      </c>
      <c r="F195" t="s">
        <v>1852</v>
      </c>
      <c r="G195" t="str">
        <f t="shared" ref="G195:G257" si="7">RIGHT(F195,2)</f>
        <v>RS</v>
      </c>
      <c r="K195" t="s">
        <v>1853</v>
      </c>
    </row>
    <row r="196" spans="1:11" x14ac:dyDescent="0.25">
      <c r="A196" s="235" t="s">
        <v>1854</v>
      </c>
      <c r="B196" t="s">
        <v>1855</v>
      </c>
      <c r="C196" s="231" t="s">
        <v>1856</v>
      </c>
      <c r="D196" s="235" t="str">
        <f t="shared" si="6"/>
        <v>NACE C - 18.13 Pre-press and pre-media services</v>
      </c>
      <c r="E196" s="232" t="s">
        <v>1857</v>
      </c>
      <c r="F196" t="s">
        <v>1858</v>
      </c>
      <c r="G196" t="str">
        <f t="shared" si="7"/>
        <v>RU</v>
      </c>
      <c r="K196" t="s">
        <v>1859</v>
      </c>
    </row>
    <row r="197" spans="1:11" x14ac:dyDescent="0.25">
      <c r="A197" s="235" t="s">
        <v>1860</v>
      </c>
      <c r="B197" t="s">
        <v>1861</v>
      </c>
      <c r="C197" s="234" t="s">
        <v>1862</v>
      </c>
      <c r="D197" s="235" t="str">
        <f t="shared" si="6"/>
        <v>NACE C - 18.14 Binding and related services</v>
      </c>
      <c r="E197" s="232" t="s">
        <v>1863</v>
      </c>
      <c r="F197" t="s">
        <v>1864</v>
      </c>
      <c r="G197" t="str">
        <f t="shared" si="7"/>
        <v>RW</v>
      </c>
      <c r="K197" t="s">
        <v>1865</v>
      </c>
    </row>
    <row r="198" spans="1:11" x14ac:dyDescent="0.25">
      <c r="A198" s="234" t="s">
        <v>1866</v>
      </c>
      <c r="B198" t="s">
        <v>1867</v>
      </c>
      <c r="C198" s="234" t="s">
        <v>1868</v>
      </c>
      <c r="D198" s="234" t="str">
        <f t="shared" si="6"/>
        <v>NACE C - 18.2 Reproduction of recorded media</v>
      </c>
      <c r="E198" s="232" t="s">
        <v>1869</v>
      </c>
      <c r="F198" t="s">
        <v>1870</v>
      </c>
      <c r="G198" t="str">
        <f t="shared" si="7"/>
        <v>SA</v>
      </c>
      <c r="K198" t="s">
        <v>1871</v>
      </c>
    </row>
    <row r="199" spans="1:11" x14ac:dyDescent="0.25">
      <c r="A199" s="235" t="s">
        <v>1872</v>
      </c>
      <c r="B199" t="s">
        <v>1873</v>
      </c>
      <c r="C199" s="234" t="s">
        <v>1874</v>
      </c>
      <c r="D199" s="235" t="str">
        <f t="shared" si="6"/>
        <v>NACE C - 18.20 Reproduction of recorded media</v>
      </c>
      <c r="E199" s="232" t="s">
        <v>1875</v>
      </c>
      <c r="F199" t="s">
        <v>1876</v>
      </c>
      <c r="G199" t="str">
        <f t="shared" si="7"/>
        <v>SB</v>
      </c>
      <c r="K199" t="s">
        <v>1877</v>
      </c>
    </row>
    <row r="200" spans="1:11" x14ac:dyDescent="0.25">
      <c r="A200" s="231" t="s">
        <v>1878</v>
      </c>
      <c r="B200" t="s">
        <v>1879</v>
      </c>
      <c r="C200" s="234" t="s">
        <v>1880</v>
      </c>
      <c r="D200" s="231" t="str">
        <f t="shared" si="6"/>
        <v>NACE C - 19 Manufacture of coke and refined petroleum products</v>
      </c>
      <c r="E200" s="232" t="s">
        <v>1881</v>
      </c>
      <c r="F200" t="s">
        <v>1882</v>
      </c>
      <c r="G200" t="str">
        <f t="shared" si="7"/>
        <v>SC</v>
      </c>
      <c r="K200" t="s">
        <v>1883</v>
      </c>
    </row>
    <row r="201" spans="1:11" x14ac:dyDescent="0.25">
      <c r="A201" s="234" t="s">
        <v>1884</v>
      </c>
      <c r="B201" t="s">
        <v>1885</v>
      </c>
      <c r="C201" s="234" t="s">
        <v>1886</v>
      </c>
      <c r="D201" s="234" t="str">
        <f t="shared" si="6"/>
        <v>NACE C - 19.1 Manufacture of coke oven products</v>
      </c>
      <c r="E201" s="232" t="s">
        <v>1887</v>
      </c>
      <c r="F201" t="s">
        <v>1888</v>
      </c>
      <c r="G201" t="str">
        <f t="shared" si="7"/>
        <v>SD</v>
      </c>
      <c r="K201" t="s">
        <v>1889</v>
      </c>
    </row>
    <row r="202" spans="1:11" x14ac:dyDescent="0.25">
      <c r="A202" s="235" t="s">
        <v>1890</v>
      </c>
      <c r="B202" t="s">
        <v>1891</v>
      </c>
      <c r="C202" s="234" t="s">
        <v>1892</v>
      </c>
      <c r="D202" s="235" t="str">
        <f t="shared" si="6"/>
        <v>NACE C - 19.10 Manufacture of coke oven products</v>
      </c>
      <c r="E202" s="232" t="s">
        <v>1893</v>
      </c>
      <c r="F202" t="s">
        <v>1894</v>
      </c>
      <c r="G202" t="str">
        <f t="shared" si="7"/>
        <v>SE</v>
      </c>
      <c r="K202" t="s">
        <v>1895</v>
      </c>
    </row>
    <row r="203" spans="1:11" x14ac:dyDescent="0.25">
      <c r="A203" s="234" t="s">
        <v>1896</v>
      </c>
      <c r="B203" t="s">
        <v>1897</v>
      </c>
      <c r="C203" s="234" t="s">
        <v>1898</v>
      </c>
      <c r="D203" s="234" t="str">
        <f t="shared" si="6"/>
        <v>NACE C - 19.2 Manufacture of refined petroleum products and fossil fuel products</v>
      </c>
      <c r="E203" s="232" t="s">
        <v>1899</v>
      </c>
      <c r="F203" t="s">
        <v>1900</v>
      </c>
      <c r="G203" t="str">
        <f t="shared" si="7"/>
        <v>SG</v>
      </c>
      <c r="K203" t="s">
        <v>1901</v>
      </c>
    </row>
    <row r="204" spans="1:11" x14ac:dyDescent="0.25">
      <c r="A204" s="235" t="s">
        <v>1902</v>
      </c>
      <c r="B204" t="s">
        <v>1903</v>
      </c>
      <c r="C204" s="234" t="s">
        <v>1904</v>
      </c>
      <c r="D204" s="235" t="str">
        <f t="shared" si="6"/>
        <v>NACE C - 19.20 Manufacture of refined petroleum products and fossil fuel products</v>
      </c>
      <c r="E204" s="232" t="s">
        <v>1905</v>
      </c>
      <c r="F204" t="s">
        <v>1906</v>
      </c>
      <c r="G204" t="str">
        <f t="shared" si="7"/>
        <v>SH</v>
      </c>
      <c r="K204" t="s">
        <v>1907</v>
      </c>
    </row>
    <row r="205" spans="1:11" x14ac:dyDescent="0.25">
      <c r="A205" s="231" t="s">
        <v>1908</v>
      </c>
      <c r="B205" t="s">
        <v>1909</v>
      </c>
      <c r="C205" s="234" t="s">
        <v>1910</v>
      </c>
      <c r="D205" s="231" t="str">
        <f t="shared" si="6"/>
        <v>NACE C - 20 Manufacture of chemicals and chemical products</v>
      </c>
      <c r="E205" s="232" t="s">
        <v>1911</v>
      </c>
      <c r="F205" t="s">
        <v>1912</v>
      </c>
      <c r="G205" t="str">
        <f t="shared" si="7"/>
        <v>SI</v>
      </c>
      <c r="K205" t="s">
        <v>1913</v>
      </c>
    </row>
    <row r="206" spans="1:11" x14ac:dyDescent="0.25">
      <c r="A206" s="234" t="s">
        <v>1914</v>
      </c>
      <c r="B206" t="s">
        <v>1915</v>
      </c>
      <c r="C206" s="232" t="s">
        <v>1916</v>
      </c>
      <c r="D206" s="234" t="str">
        <f t="shared" si="6"/>
        <v>NACE C - 20.1 Manufacture of basic chemicals, fertilisers and nitrogen compounds, plastics and synthetic rubber in primary forms</v>
      </c>
      <c r="E206" s="232" t="s">
        <v>1917</v>
      </c>
      <c r="F206" t="s">
        <v>1918</v>
      </c>
      <c r="G206" t="str">
        <f t="shared" si="7"/>
        <v>SJ</v>
      </c>
      <c r="K206" t="s">
        <v>1919</v>
      </c>
    </row>
    <row r="207" spans="1:11" x14ac:dyDescent="0.25">
      <c r="A207" s="235" t="s">
        <v>1920</v>
      </c>
      <c r="B207" t="s">
        <v>1921</v>
      </c>
      <c r="C207" s="231" t="s">
        <v>1922</v>
      </c>
      <c r="D207" s="235" t="str">
        <f t="shared" si="6"/>
        <v>NACE C - 20.11 Manufacture of industrial gases</v>
      </c>
      <c r="E207" s="232" t="s">
        <v>1923</v>
      </c>
      <c r="F207" t="s">
        <v>1924</v>
      </c>
      <c r="G207" t="str">
        <f t="shared" si="7"/>
        <v>SK</v>
      </c>
      <c r="K207" t="s">
        <v>1925</v>
      </c>
    </row>
    <row r="208" spans="1:11" x14ac:dyDescent="0.25">
      <c r="A208" s="235" t="s">
        <v>1926</v>
      </c>
      <c r="B208" t="s">
        <v>1927</v>
      </c>
      <c r="C208" s="234" t="s">
        <v>1928</v>
      </c>
      <c r="D208" s="235" t="str">
        <f t="shared" si="6"/>
        <v>NACE C - 20.12 Manufacture of dyes and pigments</v>
      </c>
      <c r="E208" s="232" t="s">
        <v>1929</v>
      </c>
      <c r="F208" t="s">
        <v>1930</v>
      </c>
      <c r="G208" t="str">
        <f t="shared" si="7"/>
        <v>SL</v>
      </c>
      <c r="K208" t="s">
        <v>1931</v>
      </c>
    </row>
    <row r="209" spans="1:11" x14ac:dyDescent="0.25">
      <c r="A209" s="235" t="s">
        <v>1932</v>
      </c>
      <c r="B209" t="s">
        <v>1933</v>
      </c>
      <c r="C209" s="234" t="s">
        <v>1934</v>
      </c>
      <c r="D209" s="235" t="str">
        <f t="shared" si="6"/>
        <v>NACE C - 20.13 Manufacture of other inorganic basic chemicals</v>
      </c>
      <c r="E209" s="232" t="s">
        <v>1935</v>
      </c>
      <c r="F209" t="s">
        <v>1936</v>
      </c>
      <c r="G209" t="str">
        <f t="shared" si="7"/>
        <v>SM</v>
      </c>
      <c r="K209" t="s">
        <v>1937</v>
      </c>
    </row>
    <row r="210" spans="1:11" x14ac:dyDescent="0.25">
      <c r="A210" s="235" t="s">
        <v>1938</v>
      </c>
      <c r="B210" t="s">
        <v>1939</v>
      </c>
      <c r="C210" s="234" t="s">
        <v>1940</v>
      </c>
      <c r="D210" s="235" t="str">
        <f t="shared" si="6"/>
        <v>NACE C - 20.14 Manufacture of other organic basic chemicals</v>
      </c>
      <c r="E210" s="232" t="s">
        <v>1941</v>
      </c>
      <c r="F210" t="s">
        <v>1942</v>
      </c>
      <c r="G210" t="str">
        <f t="shared" si="7"/>
        <v>SN</v>
      </c>
      <c r="K210" t="s">
        <v>1943</v>
      </c>
    </row>
    <row r="211" spans="1:11" x14ac:dyDescent="0.25">
      <c r="A211" s="235" t="s">
        <v>1944</v>
      </c>
      <c r="B211" t="s">
        <v>1945</v>
      </c>
      <c r="C211" s="234" t="s">
        <v>1946</v>
      </c>
      <c r="D211" s="235" t="str">
        <f t="shared" si="6"/>
        <v>NACE C - 20.15 Manufacture of fertilisers and nitrogen compounds</v>
      </c>
      <c r="E211" s="232" t="s">
        <v>1947</v>
      </c>
      <c r="F211" t="s">
        <v>1948</v>
      </c>
      <c r="G211" t="str">
        <f t="shared" si="7"/>
        <v>SO</v>
      </c>
      <c r="K211" t="s">
        <v>1949</v>
      </c>
    </row>
    <row r="212" spans="1:11" x14ac:dyDescent="0.25">
      <c r="A212" s="235" t="s">
        <v>1950</v>
      </c>
      <c r="B212" t="s">
        <v>1951</v>
      </c>
      <c r="C212" s="234" t="s">
        <v>1952</v>
      </c>
      <c r="D212" s="235" t="str">
        <f t="shared" si="6"/>
        <v>NACE C - 20.16 Manufacture of plastics in primary forms</v>
      </c>
      <c r="E212" s="232" t="s">
        <v>1953</v>
      </c>
      <c r="F212" t="s">
        <v>1954</v>
      </c>
      <c r="G212" t="str">
        <f t="shared" si="7"/>
        <v>SR</v>
      </c>
      <c r="K212" t="s">
        <v>1955</v>
      </c>
    </row>
    <row r="213" spans="1:11" x14ac:dyDescent="0.25">
      <c r="A213" s="235" t="s">
        <v>1956</v>
      </c>
      <c r="B213" t="s">
        <v>1957</v>
      </c>
      <c r="C213" s="231" t="s">
        <v>1958</v>
      </c>
      <c r="D213" s="235" t="str">
        <f t="shared" si="6"/>
        <v>NACE C - 20.17 Manufacture of synthetic rubber in primary forms</v>
      </c>
      <c r="E213" s="232" t="s">
        <v>1959</v>
      </c>
      <c r="F213" t="s">
        <v>1960</v>
      </c>
      <c r="G213" t="str">
        <f t="shared" si="7"/>
        <v>SS</v>
      </c>
      <c r="K213" t="s">
        <v>1961</v>
      </c>
    </row>
    <row r="214" spans="1:11" x14ac:dyDescent="0.25">
      <c r="A214" s="234" t="s">
        <v>1962</v>
      </c>
      <c r="B214" t="s">
        <v>1963</v>
      </c>
      <c r="C214" s="234" t="s">
        <v>1964</v>
      </c>
      <c r="D214" s="234" t="str">
        <f t="shared" si="6"/>
        <v>NACE C - 20.2 Manufacture of pesticides, disinfectants and other agrochemical products</v>
      </c>
      <c r="E214" s="232" t="s">
        <v>1965</v>
      </c>
      <c r="F214" t="s">
        <v>1966</v>
      </c>
      <c r="G214" t="str">
        <f t="shared" si="7"/>
        <v>ST</v>
      </c>
      <c r="K214" t="s">
        <v>1967</v>
      </c>
    </row>
    <row r="215" spans="1:11" x14ac:dyDescent="0.25">
      <c r="A215" s="235" t="s">
        <v>1968</v>
      </c>
      <c r="B215" t="s">
        <v>1969</v>
      </c>
      <c r="C215" s="234" t="s">
        <v>1970</v>
      </c>
      <c r="D215" s="235" t="str">
        <f t="shared" si="6"/>
        <v>NACE C - 20.20 Manufacture of pesticides, disinfectants and other agrochemical products</v>
      </c>
      <c r="E215" s="232" t="s">
        <v>1971</v>
      </c>
      <c r="F215" t="s">
        <v>1972</v>
      </c>
      <c r="G215" t="str">
        <f t="shared" si="7"/>
        <v>SV</v>
      </c>
      <c r="K215" t="s">
        <v>1973</v>
      </c>
    </row>
    <row r="216" spans="1:11" x14ac:dyDescent="0.25">
      <c r="A216" s="234" t="s">
        <v>1974</v>
      </c>
      <c r="B216" t="s">
        <v>1975</v>
      </c>
      <c r="C216" s="234" t="s">
        <v>1976</v>
      </c>
      <c r="D216" s="234" t="str">
        <f t="shared" si="6"/>
        <v>NACE C - 20.3 Manufacture of paints, varnishes and similar coatings, printing ink and mastics</v>
      </c>
      <c r="E216" s="232" t="s">
        <v>1977</v>
      </c>
      <c r="F216" t="s">
        <v>1978</v>
      </c>
      <c r="G216" t="str">
        <f t="shared" si="7"/>
        <v>SX</v>
      </c>
      <c r="K216" t="s">
        <v>1979</v>
      </c>
    </row>
    <row r="217" spans="1:11" x14ac:dyDescent="0.25">
      <c r="A217" s="235" t="s">
        <v>1980</v>
      </c>
      <c r="B217" t="s">
        <v>1981</v>
      </c>
      <c r="C217" s="234" t="s">
        <v>1982</v>
      </c>
      <c r="D217" s="235" t="str">
        <f t="shared" si="6"/>
        <v>NACE C - 20.30 Manufacture of paints, varnishes and similar coatings, printing ink and mastics</v>
      </c>
      <c r="E217" s="232" t="s">
        <v>1983</v>
      </c>
      <c r="F217" t="s">
        <v>1984</v>
      </c>
      <c r="G217" t="str">
        <f t="shared" si="7"/>
        <v>SY</v>
      </c>
      <c r="K217" t="s">
        <v>1985</v>
      </c>
    </row>
    <row r="218" spans="1:11" x14ac:dyDescent="0.25">
      <c r="A218" s="234" t="s">
        <v>1986</v>
      </c>
      <c r="B218" t="s">
        <v>1987</v>
      </c>
      <c r="C218" s="231" t="s">
        <v>1988</v>
      </c>
      <c r="D218" s="234" t="str">
        <f t="shared" si="6"/>
        <v>NACE C - 20.4 Manufacture of washing, cleaning and polishing preparations</v>
      </c>
      <c r="E218" s="232" t="s">
        <v>1989</v>
      </c>
      <c r="F218" t="s">
        <v>1990</v>
      </c>
      <c r="G218" t="str">
        <f t="shared" si="7"/>
        <v>SZ</v>
      </c>
      <c r="K218" t="s">
        <v>1991</v>
      </c>
    </row>
    <row r="219" spans="1:11" x14ac:dyDescent="0.25">
      <c r="A219" s="235" t="s">
        <v>1992</v>
      </c>
      <c r="B219" t="s">
        <v>1993</v>
      </c>
      <c r="C219" s="234" t="s">
        <v>1994</v>
      </c>
      <c r="D219" s="235" t="str">
        <f t="shared" si="6"/>
        <v>NACE C - 20.41 Manufacture of soap and detergents, cleaning and polishing preparations</v>
      </c>
      <c r="E219" s="232" t="s">
        <v>1995</v>
      </c>
      <c r="F219" t="s">
        <v>1996</v>
      </c>
      <c r="G219" t="str">
        <f t="shared" si="7"/>
        <v>TC</v>
      </c>
      <c r="K219" t="s">
        <v>1997</v>
      </c>
    </row>
    <row r="220" spans="1:11" x14ac:dyDescent="0.25">
      <c r="A220" s="235" t="s">
        <v>1998</v>
      </c>
      <c r="B220" t="s">
        <v>1999</v>
      </c>
      <c r="C220" s="234" t="s">
        <v>2000</v>
      </c>
      <c r="D220" s="235" t="str">
        <f t="shared" si="6"/>
        <v>NACE C - 20.42 Manufacture of perfume and toilet preparations</v>
      </c>
      <c r="E220" s="232" t="s">
        <v>2001</v>
      </c>
      <c r="F220" t="s">
        <v>2002</v>
      </c>
      <c r="G220" t="str">
        <f t="shared" si="7"/>
        <v>TD</v>
      </c>
      <c r="K220" t="s">
        <v>2003</v>
      </c>
    </row>
    <row r="221" spans="1:11" x14ac:dyDescent="0.25">
      <c r="A221" s="234" t="s">
        <v>2004</v>
      </c>
      <c r="B221" t="s">
        <v>2005</v>
      </c>
      <c r="C221" s="231" t="s">
        <v>2006</v>
      </c>
      <c r="D221" s="234" t="str">
        <f t="shared" si="6"/>
        <v>NACE C - 20.5 Manufacture of other chemical products</v>
      </c>
      <c r="E221" s="232" t="s">
        <v>2007</v>
      </c>
      <c r="F221" t="s">
        <v>2008</v>
      </c>
      <c r="G221" t="str">
        <f t="shared" si="7"/>
        <v>TF</v>
      </c>
      <c r="K221" t="s">
        <v>2009</v>
      </c>
    </row>
    <row r="222" spans="1:11" x14ac:dyDescent="0.25">
      <c r="A222" s="235" t="s">
        <v>2010</v>
      </c>
      <c r="B222" t="s">
        <v>2011</v>
      </c>
      <c r="C222" s="234" t="s">
        <v>2012</v>
      </c>
      <c r="D222" s="235" t="str">
        <f t="shared" si="6"/>
        <v>NACE C - 20.51 Manufacture of liquid biofuels</v>
      </c>
      <c r="E222" s="232" t="s">
        <v>2013</v>
      </c>
      <c r="F222" t="s">
        <v>2014</v>
      </c>
      <c r="G222" t="str">
        <f t="shared" si="7"/>
        <v>TG</v>
      </c>
      <c r="K222" t="s">
        <v>2015</v>
      </c>
    </row>
    <row r="223" spans="1:11" x14ac:dyDescent="0.25">
      <c r="A223" s="235" t="s">
        <v>2016</v>
      </c>
      <c r="B223" t="s">
        <v>2017</v>
      </c>
      <c r="C223" s="234" t="s">
        <v>2018</v>
      </c>
      <c r="D223" s="235" t="str">
        <f t="shared" si="6"/>
        <v>NACE C - 20.59 Manufacture of other chemical products n.e.c.</v>
      </c>
      <c r="E223" s="232" t="s">
        <v>2019</v>
      </c>
      <c r="F223" t="s">
        <v>2020</v>
      </c>
      <c r="G223" t="str">
        <f t="shared" si="7"/>
        <v>TH</v>
      </c>
      <c r="K223" t="s">
        <v>2021</v>
      </c>
    </row>
    <row r="224" spans="1:11" x14ac:dyDescent="0.25">
      <c r="A224" s="234" t="s">
        <v>2022</v>
      </c>
      <c r="B224" t="s">
        <v>2023</v>
      </c>
      <c r="C224" s="234" t="s">
        <v>2024</v>
      </c>
      <c r="D224" s="234" t="str">
        <f t="shared" si="6"/>
        <v>NACE C - 20.6 Manufacture of man-made fibres</v>
      </c>
      <c r="E224" s="232" t="s">
        <v>2025</v>
      </c>
      <c r="F224" t="s">
        <v>2026</v>
      </c>
      <c r="G224" t="str">
        <f t="shared" si="7"/>
        <v>TJ</v>
      </c>
      <c r="K224" t="s">
        <v>2027</v>
      </c>
    </row>
    <row r="225" spans="1:11" x14ac:dyDescent="0.25">
      <c r="A225" s="235" t="s">
        <v>2028</v>
      </c>
      <c r="B225" t="s">
        <v>2029</v>
      </c>
      <c r="C225" s="231" t="s">
        <v>2030</v>
      </c>
      <c r="D225" s="235" t="str">
        <f t="shared" si="6"/>
        <v>NACE C - 20.60 Manufacture of man-made fibres</v>
      </c>
      <c r="E225" s="232" t="s">
        <v>2031</v>
      </c>
      <c r="F225" t="s">
        <v>2032</v>
      </c>
      <c r="G225" t="str">
        <f t="shared" si="7"/>
        <v>TK</v>
      </c>
      <c r="K225" t="s">
        <v>2033</v>
      </c>
    </row>
    <row r="226" spans="1:11" x14ac:dyDescent="0.25">
      <c r="A226" s="231" t="s">
        <v>2034</v>
      </c>
      <c r="B226" t="s">
        <v>2035</v>
      </c>
      <c r="C226" s="234" t="s">
        <v>2036</v>
      </c>
      <c r="D226" s="231" t="str">
        <f t="shared" si="6"/>
        <v>NACE C - 21 Manufacture of basic pharmaceutical products and pharmaceutical preparations</v>
      </c>
      <c r="E226" s="232" t="s">
        <v>2037</v>
      </c>
      <c r="F226" t="s">
        <v>2038</v>
      </c>
      <c r="G226" t="str">
        <f t="shared" si="7"/>
        <v>TL</v>
      </c>
      <c r="K226" t="s">
        <v>2039</v>
      </c>
    </row>
    <row r="227" spans="1:11" x14ac:dyDescent="0.25">
      <c r="A227" s="234" t="s">
        <v>2040</v>
      </c>
      <c r="B227" t="s">
        <v>2041</v>
      </c>
      <c r="C227" s="234" t="s">
        <v>2042</v>
      </c>
      <c r="D227" s="234" t="str">
        <f t="shared" si="6"/>
        <v>NACE C - 21.1 Manufacture of basic pharmaceutical products</v>
      </c>
      <c r="E227" s="232" t="s">
        <v>2043</v>
      </c>
      <c r="F227" t="s">
        <v>2044</v>
      </c>
      <c r="G227" t="str">
        <f t="shared" si="7"/>
        <v>TM</v>
      </c>
      <c r="K227" t="s">
        <v>2045</v>
      </c>
    </row>
    <row r="228" spans="1:11" x14ac:dyDescent="0.25">
      <c r="A228" s="235" t="s">
        <v>2046</v>
      </c>
      <c r="B228" t="s">
        <v>2047</v>
      </c>
      <c r="C228" s="234" t="s">
        <v>2048</v>
      </c>
      <c r="D228" s="235" t="str">
        <f t="shared" si="6"/>
        <v>NACE C - 21.10 Manufacture of basic pharmaceutical products</v>
      </c>
      <c r="E228" s="232" t="s">
        <v>2049</v>
      </c>
      <c r="F228" t="s">
        <v>2050</v>
      </c>
      <c r="G228" t="str">
        <f t="shared" si="7"/>
        <v>TN</v>
      </c>
      <c r="K228" t="s">
        <v>2051</v>
      </c>
    </row>
    <row r="229" spans="1:11" x14ac:dyDescent="0.25">
      <c r="A229" s="234" t="s">
        <v>2052</v>
      </c>
      <c r="B229" t="s">
        <v>2053</v>
      </c>
      <c r="C229" s="232" t="s">
        <v>2054</v>
      </c>
      <c r="D229" s="234" t="str">
        <f t="shared" si="6"/>
        <v>NACE C - 21.2 Manufacture of pharmaceutical preparations</v>
      </c>
      <c r="E229" s="232" t="s">
        <v>2055</v>
      </c>
      <c r="F229" t="s">
        <v>2056</v>
      </c>
      <c r="G229" t="str">
        <f t="shared" si="7"/>
        <v>TO</v>
      </c>
      <c r="K229" t="s">
        <v>2057</v>
      </c>
    </row>
    <row r="230" spans="1:11" x14ac:dyDescent="0.25">
      <c r="A230" s="235" t="s">
        <v>2058</v>
      </c>
      <c r="B230" t="s">
        <v>2059</v>
      </c>
      <c r="C230" s="231" t="s">
        <v>2060</v>
      </c>
      <c r="D230" s="235" t="str">
        <f t="shared" si="6"/>
        <v>NACE C - 21.20 Manufacture of pharmaceutical preparations</v>
      </c>
      <c r="E230" s="232" t="s">
        <v>2061</v>
      </c>
      <c r="F230" t="s">
        <v>2062</v>
      </c>
      <c r="G230" t="str">
        <f t="shared" si="7"/>
        <v>TP</v>
      </c>
      <c r="K230" t="s">
        <v>2063</v>
      </c>
    </row>
    <row r="231" spans="1:11" x14ac:dyDescent="0.25">
      <c r="A231" s="231" t="s">
        <v>2064</v>
      </c>
      <c r="B231" t="s">
        <v>2065</v>
      </c>
      <c r="C231" s="234" t="s">
        <v>2066</v>
      </c>
      <c r="D231" s="231" t="str">
        <f t="shared" si="6"/>
        <v>NACE C - 22 Manufacture of rubber and plastic products</v>
      </c>
      <c r="E231" s="232" t="s">
        <v>2067</v>
      </c>
      <c r="F231" t="s">
        <v>2068</v>
      </c>
      <c r="G231" t="str">
        <f t="shared" si="7"/>
        <v>TR</v>
      </c>
      <c r="K231" t="s">
        <v>2069</v>
      </c>
    </row>
    <row r="232" spans="1:11" x14ac:dyDescent="0.25">
      <c r="A232" s="234" t="s">
        <v>2070</v>
      </c>
      <c r="B232" t="s">
        <v>2071</v>
      </c>
      <c r="C232" s="234" t="s">
        <v>2072</v>
      </c>
      <c r="D232" s="234" t="str">
        <f t="shared" si="6"/>
        <v>NACE C - 22.1 Manufacture of rubber products</v>
      </c>
      <c r="E232" s="232" t="s">
        <v>2073</v>
      </c>
      <c r="F232" t="s">
        <v>2074</v>
      </c>
      <c r="G232" t="str">
        <f t="shared" si="7"/>
        <v>TT</v>
      </c>
      <c r="K232" t="s">
        <v>2075</v>
      </c>
    </row>
    <row r="233" spans="1:11" x14ac:dyDescent="0.25">
      <c r="A233" s="235" t="s">
        <v>2076</v>
      </c>
      <c r="B233" t="s">
        <v>2077</v>
      </c>
      <c r="C233" s="234" t="s">
        <v>2078</v>
      </c>
      <c r="D233" s="235" t="str">
        <f t="shared" si="6"/>
        <v>NACE C - 22.11 Manufacture, retreading and rebuilding of rubber tyres and manufacture of tubes</v>
      </c>
      <c r="E233" s="232" t="s">
        <v>2079</v>
      </c>
      <c r="F233" t="s">
        <v>2080</v>
      </c>
      <c r="G233" t="str">
        <f t="shared" si="7"/>
        <v>TV</v>
      </c>
      <c r="K233" t="s">
        <v>2081</v>
      </c>
    </row>
    <row r="234" spans="1:11" x14ac:dyDescent="0.25">
      <c r="A234" s="235" t="s">
        <v>2082</v>
      </c>
      <c r="B234" t="s">
        <v>2083</v>
      </c>
      <c r="C234" s="234" t="s">
        <v>2084</v>
      </c>
      <c r="D234" s="235" t="str">
        <f t="shared" si="6"/>
        <v>NACE C - 22.12 Manufacture of other rubber products</v>
      </c>
      <c r="E234" s="232" t="s">
        <v>2085</v>
      </c>
      <c r="F234" t="s">
        <v>2086</v>
      </c>
      <c r="G234" t="str">
        <f t="shared" si="7"/>
        <v>TW</v>
      </c>
      <c r="K234" t="s">
        <v>2087</v>
      </c>
    </row>
    <row r="235" spans="1:11" x14ac:dyDescent="0.25">
      <c r="A235" s="234" t="s">
        <v>2088</v>
      </c>
      <c r="B235" t="s">
        <v>2089</v>
      </c>
      <c r="C235" s="234" t="s">
        <v>2090</v>
      </c>
      <c r="D235" s="234" t="str">
        <f t="shared" si="6"/>
        <v>NACE C - 22.2 Manufacture of plastic products</v>
      </c>
      <c r="E235" s="232" t="s">
        <v>2091</v>
      </c>
      <c r="F235" t="s">
        <v>2092</v>
      </c>
      <c r="G235" t="str">
        <f t="shared" si="7"/>
        <v>TZ</v>
      </c>
      <c r="K235" t="s">
        <v>2093</v>
      </c>
    </row>
    <row r="236" spans="1:11" x14ac:dyDescent="0.25">
      <c r="A236" s="235" t="s">
        <v>2094</v>
      </c>
      <c r="B236" t="s">
        <v>2095</v>
      </c>
      <c r="C236" s="231" t="s">
        <v>2096</v>
      </c>
      <c r="D236" s="235" t="str">
        <f t="shared" si="6"/>
        <v>NACE C - 22.21 Manufacture of plastic plates, sheets, tubes and profiles</v>
      </c>
      <c r="E236" s="232" t="s">
        <v>2097</v>
      </c>
      <c r="F236" t="s">
        <v>2098</v>
      </c>
      <c r="G236" t="str">
        <f t="shared" si="7"/>
        <v>UA</v>
      </c>
      <c r="K236" t="s">
        <v>2099</v>
      </c>
    </row>
    <row r="237" spans="1:11" x14ac:dyDescent="0.25">
      <c r="A237" s="235" t="s">
        <v>2100</v>
      </c>
      <c r="B237" t="s">
        <v>2101</v>
      </c>
      <c r="C237" s="234" t="s">
        <v>2102</v>
      </c>
      <c r="D237" s="235" t="str">
        <f t="shared" si="6"/>
        <v>NACE C - 22.22 Manufacture of plastic packing goods</v>
      </c>
      <c r="E237" s="232" t="s">
        <v>2103</v>
      </c>
      <c r="F237" t="s">
        <v>2104</v>
      </c>
      <c r="G237" t="str">
        <f t="shared" si="7"/>
        <v>UG</v>
      </c>
      <c r="K237" t="s">
        <v>2105</v>
      </c>
    </row>
    <row r="238" spans="1:11" x14ac:dyDescent="0.25">
      <c r="A238" s="235" t="s">
        <v>2106</v>
      </c>
      <c r="B238" t="s">
        <v>2107</v>
      </c>
      <c r="C238" s="234" t="s">
        <v>2108</v>
      </c>
      <c r="D238" s="235" t="str">
        <f t="shared" si="6"/>
        <v>NACE C - 22.23 Manufacture of doors and windows of plastic</v>
      </c>
      <c r="E238" s="232" t="s">
        <v>2109</v>
      </c>
      <c r="F238" t="s">
        <v>2110</v>
      </c>
      <c r="G238" t="str">
        <f t="shared" si="7"/>
        <v>UM</v>
      </c>
      <c r="K238" t="s">
        <v>2111</v>
      </c>
    </row>
    <row r="239" spans="1:11" x14ac:dyDescent="0.25">
      <c r="A239" s="235" t="s">
        <v>2112</v>
      </c>
      <c r="B239" t="s">
        <v>2113</v>
      </c>
      <c r="C239" s="235" t="s">
        <v>2114</v>
      </c>
      <c r="D239" s="235" t="str">
        <f t="shared" si="6"/>
        <v>NACE C - 22.24 Manufacture of builders’ ware of plastic</v>
      </c>
      <c r="E239" s="232" t="s">
        <v>88</v>
      </c>
      <c r="F239" t="s">
        <v>2115</v>
      </c>
      <c r="G239" t="str">
        <f t="shared" si="7"/>
        <v>US</v>
      </c>
      <c r="K239" t="s">
        <v>2116</v>
      </c>
    </row>
    <row r="240" spans="1:11" x14ac:dyDescent="0.25">
      <c r="A240" s="235" t="s">
        <v>2117</v>
      </c>
      <c r="B240" t="s">
        <v>2118</v>
      </c>
      <c r="C240" s="234" t="s">
        <v>2119</v>
      </c>
      <c r="D240" s="235" t="str">
        <f t="shared" si="6"/>
        <v>NACE C - 22.25 Processing and finishing of plastic products</v>
      </c>
      <c r="E240" s="232" t="s">
        <v>2120</v>
      </c>
      <c r="F240" t="s">
        <v>2121</v>
      </c>
      <c r="G240" t="str">
        <f t="shared" si="7"/>
        <v>UY</v>
      </c>
      <c r="K240" t="s">
        <v>2122</v>
      </c>
    </row>
    <row r="241" spans="1:11" x14ac:dyDescent="0.25">
      <c r="A241" s="235" t="s">
        <v>2123</v>
      </c>
      <c r="B241" t="s">
        <v>2124</v>
      </c>
      <c r="C241" s="234" t="s">
        <v>2125</v>
      </c>
      <c r="D241" s="235" t="str">
        <f t="shared" si="6"/>
        <v>NACE C - 22.26 Manufacture of other plastic products</v>
      </c>
      <c r="E241" s="232" t="s">
        <v>2126</v>
      </c>
      <c r="F241" t="s">
        <v>2127</v>
      </c>
      <c r="G241" t="str">
        <f t="shared" si="7"/>
        <v>UZ</v>
      </c>
      <c r="K241" t="s">
        <v>2128</v>
      </c>
    </row>
    <row r="242" spans="1:11" x14ac:dyDescent="0.25">
      <c r="A242" s="231" t="s">
        <v>2129</v>
      </c>
      <c r="B242" t="s">
        <v>2130</v>
      </c>
      <c r="C242" s="232" t="s">
        <v>2131</v>
      </c>
      <c r="D242" s="231" t="str">
        <f t="shared" si="6"/>
        <v>NACE C - 23 Manufacture of other non-metallic mineral products</v>
      </c>
      <c r="E242" s="232" t="s">
        <v>2132</v>
      </c>
      <c r="F242" t="s">
        <v>2133</v>
      </c>
      <c r="G242" t="str">
        <f t="shared" si="7"/>
        <v>VA</v>
      </c>
      <c r="K242" t="s">
        <v>2134</v>
      </c>
    </row>
    <row r="243" spans="1:11" x14ac:dyDescent="0.25">
      <c r="A243" s="234" t="s">
        <v>2135</v>
      </c>
      <c r="B243" t="s">
        <v>2136</v>
      </c>
      <c r="C243" s="231" t="s">
        <v>2137</v>
      </c>
      <c r="D243" s="234" t="str">
        <f t="shared" si="6"/>
        <v>NACE C - 23.1 Manufacture of glass and glass products</v>
      </c>
      <c r="E243" s="232" t="s">
        <v>2138</v>
      </c>
      <c r="F243" t="s">
        <v>2139</v>
      </c>
      <c r="G243" t="str">
        <f t="shared" si="7"/>
        <v>VC</v>
      </c>
      <c r="K243" t="s">
        <v>2140</v>
      </c>
    </row>
    <row r="244" spans="1:11" x14ac:dyDescent="0.25">
      <c r="A244" s="235" t="s">
        <v>2141</v>
      </c>
      <c r="B244" t="s">
        <v>2142</v>
      </c>
      <c r="C244" s="234" t="s">
        <v>2143</v>
      </c>
      <c r="D244" s="235" t="str">
        <f t="shared" si="6"/>
        <v>NACE C - 23.11 Manufacture of flat glass</v>
      </c>
      <c r="E244" s="232" t="s">
        <v>2144</v>
      </c>
      <c r="F244" t="s">
        <v>2145</v>
      </c>
      <c r="G244" t="str">
        <f t="shared" si="7"/>
        <v>VE</v>
      </c>
      <c r="K244" t="s">
        <v>2146</v>
      </c>
    </row>
    <row r="245" spans="1:11" x14ac:dyDescent="0.25">
      <c r="A245" s="235" t="s">
        <v>2147</v>
      </c>
      <c r="B245" t="s">
        <v>2148</v>
      </c>
      <c r="C245" s="234" t="s">
        <v>2149</v>
      </c>
      <c r="D245" s="235" t="str">
        <f t="shared" si="6"/>
        <v>NACE C - 23.12 Shaping and processing of flat glass</v>
      </c>
      <c r="E245" s="232" t="s">
        <v>2150</v>
      </c>
      <c r="F245" t="s">
        <v>2151</v>
      </c>
      <c r="G245" t="str">
        <f t="shared" si="7"/>
        <v>VG</v>
      </c>
      <c r="K245" t="s">
        <v>2152</v>
      </c>
    </row>
    <row r="246" spans="1:11" x14ac:dyDescent="0.25">
      <c r="A246" s="235" t="s">
        <v>2153</v>
      </c>
      <c r="B246" t="s">
        <v>2154</v>
      </c>
      <c r="C246" s="231" t="s">
        <v>2155</v>
      </c>
      <c r="D246" s="235" t="str">
        <f t="shared" si="6"/>
        <v>NACE C - 23.13 Manufacture of hollow glass</v>
      </c>
      <c r="E246" s="232" t="s">
        <v>2156</v>
      </c>
      <c r="F246" t="s">
        <v>2157</v>
      </c>
      <c r="G246" t="str">
        <f t="shared" si="7"/>
        <v>VI</v>
      </c>
      <c r="K246" t="s">
        <v>2158</v>
      </c>
    </row>
    <row r="247" spans="1:11" x14ac:dyDescent="0.25">
      <c r="A247" s="235" t="s">
        <v>2159</v>
      </c>
      <c r="B247" t="s">
        <v>2160</v>
      </c>
      <c r="C247" s="234" t="s">
        <v>2161</v>
      </c>
      <c r="D247" s="235" t="str">
        <f t="shared" si="6"/>
        <v>NACE C - 23.14 Manufacture of glass fibres</v>
      </c>
      <c r="E247" s="232" t="s">
        <v>2162</v>
      </c>
      <c r="F247" t="s">
        <v>2163</v>
      </c>
      <c r="G247" t="str">
        <f t="shared" si="7"/>
        <v>VN</v>
      </c>
      <c r="K247" t="s">
        <v>2164</v>
      </c>
    </row>
    <row r="248" spans="1:11" x14ac:dyDescent="0.25">
      <c r="A248" s="235" t="s">
        <v>2165</v>
      </c>
      <c r="B248" t="s">
        <v>2166</v>
      </c>
      <c r="C248" s="234" t="s">
        <v>2167</v>
      </c>
      <c r="D248" s="235" t="str">
        <f t="shared" si="6"/>
        <v>NACE C - 23.15 Manufacture and processing of other glass, including technical glassware</v>
      </c>
      <c r="E248" s="232" t="s">
        <v>2168</v>
      </c>
      <c r="F248" t="s">
        <v>2169</v>
      </c>
      <c r="G248" t="str">
        <f t="shared" si="7"/>
        <v>VU</v>
      </c>
      <c r="K248" t="s">
        <v>2170</v>
      </c>
    </row>
    <row r="249" spans="1:11" x14ac:dyDescent="0.25">
      <c r="A249" s="234" t="s">
        <v>2171</v>
      </c>
      <c r="B249" t="s">
        <v>2172</v>
      </c>
      <c r="C249" s="231" t="s">
        <v>2173</v>
      </c>
      <c r="D249" s="234" t="str">
        <f t="shared" si="6"/>
        <v>NACE C - 23.2 Manufacture of refractory products</v>
      </c>
      <c r="E249" s="232" t="s">
        <v>2174</v>
      </c>
      <c r="F249" t="s">
        <v>2175</v>
      </c>
      <c r="G249" t="str">
        <f t="shared" si="7"/>
        <v>WF</v>
      </c>
      <c r="K249" t="s">
        <v>2176</v>
      </c>
    </row>
    <row r="250" spans="1:11" x14ac:dyDescent="0.25">
      <c r="A250" s="235" t="s">
        <v>2177</v>
      </c>
      <c r="B250" t="s">
        <v>2178</v>
      </c>
      <c r="C250" s="234" t="s">
        <v>2179</v>
      </c>
      <c r="D250" s="235" t="str">
        <f t="shared" si="6"/>
        <v>NACE C - 23.20 Manufacture of refractory products</v>
      </c>
      <c r="E250" s="232" t="s">
        <v>2180</v>
      </c>
      <c r="F250" t="s">
        <v>2181</v>
      </c>
      <c r="G250" t="str">
        <f t="shared" si="7"/>
        <v>WS</v>
      </c>
      <c r="K250" t="s">
        <v>2182</v>
      </c>
    </row>
    <row r="251" spans="1:11" x14ac:dyDescent="0.25">
      <c r="A251" s="234" t="s">
        <v>2183</v>
      </c>
      <c r="B251" t="s">
        <v>2184</v>
      </c>
      <c r="C251" s="234" t="s">
        <v>2185</v>
      </c>
      <c r="D251" s="234" t="str">
        <f t="shared" si="6"/>
        <v>NACE C - 23.3 Manufacture of clay building materials</v>
      </c>
      <c r="E251" s="232" t="s">
        <v>2186</v>
      </c>
      <c r="F251" t="s">
        <v>2187</v>
      </c>
      <c r="G251" t="str">
        <f t="shared" si="7"/>
        <v>YE</v>
      </c>
      <c r="K251" t="s">
        <v>2188</v>
      </c>
    </row>
    <row r="252" spans="1:11" x14ac:dyDescent="0.25">
      <c r="A252" s="235" t="s">
        <v>2189</v>
      </c>
      <c r="B252" t="s">
        <v>2190</v>
      </c>
      <c r="C252" s="234" t="s">
        <v>2191</v>
      </c>
      <c r="D252" s="235" t="str">
        <f t="shared" si="6"/>
        <v>NACE C - 23.31 Manufacture of ceramic tiles and flags</v>
      </c>
      <c r="E252" s="232" t="s">
        <v>2192</v>
      </c>
      <c r="F252" t="s">
        <v>2193</v>
      </c>
      <c r="G252" t="str">
        <f t="shared" si="7"/>
        <v>YT</v>
      </c>
      <c r="K252" t="s">
        <v>2194</v>
      </c>
    </row>
    <row r="253" spans="1:11" x14ac:dyDescent="0.25">
      <c r="A253" s="235" t="s">
        <v>2195</v>
      </c>
      <c r="B253" t="s">
        <v>2196</v>
      </c>
      <c r="C253" s="232" t="s">
        <v>2197</v>
      </c>
      <c r="D253" s="235" t="str">
        <f t="shared" si="6"/>
        <v>NACE C - 23.32 Manufacture of bricks, tiles and construction products, in baked clay</v>
      </c>
      <c r="E253" s="232" t="s">
        <v>2198</v>
      </c>
      <c r="F253" t="s">
        <v>2199</v>
      </c>
      <c r="G253" t="str">
        <f t="shared" si="7"/>
        <v>YU</v>
      </c>
      <c r="K253" t="s">
        <v>2200</v>
      </c>
    </row>
    <row r="254" spans="1:11" x14ac:dyDescent="0.25">
      <c r="A254" s="234" t="s">
        <v>2201</v>
      </c>
      <c r="B254" t="s">
        <v>2202</v>
      </c>
      <c r="C254" s="231" t="s">
        <v>2203</v>
      </c>
      <c r="D254" s="234" t="str">
        <f t="shared" si="6"/>
        <v>NACE C - 23.4 Manufacture of other porcelain and ceramic products</v>
      </c>
      <c r="E254" s="232" t="s">
        <v>2204</v>
      </c>
      <c r="F254" t="s">
        <v>2205</v>
      </c>
      <c r="G254" t="str">
        <f t="shared" si="7"/>
        <v>ZA</v>
      </c>
      <c r="K254" t="s">
        <v>2206</v>
      </c>
    </row>
    <row r="255" spans="1:11" x14ac:dyDescent="0.25">
      <c r="A255" s="235" t="s">
        <v>2207</v>
      </c>
      <c r="B255" t="s">
        <v>2208</v>
      </c>
      <c r="C255" s="234" t="s">
        <v>2209</v>
      </c>
      <c r="D255" s="235" t="str">
        <f t="shared" si="6"/>
        <v>NACE C - 23.41 Manufacture of ceramic household and ornamental articles</v>
      </c>
      <c r="E255" s="232" t="s">
        <v>2210</v>
      </c>
      <c r="F255" t="s">
        <v>2211</v>
      </c>
      <c r="G255" t="str">
        <f t="shared" si="7"/>
        <v>ZM</v>
      </c>
      <c r="K255" t="s">
        <v>2212</v>
      </c>
    </row>
    <row r="256" spans="1:11" x14ac:dyDescent="0.25">
      <c r="A256" s="235" t="s">
        <v>2213</v>
      </c>
      <c r="B256" t="s">
        <v>2214</v>
      </c>
      <c r="C256" s="234" t="s">
        <v>2215</v>
      </c>
      <c r="D256" s="235" t="str">
        <f t="shared" si="6"/>
        <v>NACE C - 23.42 Manufacture of ceramic sanitary fixtures</v>
      </c>
      <c r="E256" s="232" t="s">
        <v>2216</v>
      </c>
      <c r="F256" t="s">
        <v>2217</v>
      </c>
      <c r="G256" t="str">
        <f t="shared" si="7"/>
        <v>ZR</v>
      </c>
      <c r="K256" t="s">
        <v>2218</v>
      </c>
    </row>
    <row r="257" spans="1:11" x14ac:dyDescent="0.25">
      <c r="A257" s="235" t="s">
        <v>2219</v>
      </c>
      <c r="B257" t="s">
        <v>2220</v>
      </c>
      <c r="C257" s="234" t="s">
        <v>2221</v>
      </c>
      <c r="D257" s="235" t="str">
        <f t="shared" si="6"/>
        <v>NACE C - 23.43 Manufacture of ceramic insulators and insulating fittings</v>
      </c>
      <c r="E257" s="232" t="s">
        <v>2222</v>
      </c>
      <c r="F257" t="s">
        <v>2223</v>
      </c>
      <c r="G257" t="str">
        <f t="shared" si="7"/>
        <v>ZW</v>
      </c>
      <c r="K257" t="s">
        <v>2224</v>
      </c>
    </row>
    <row r="258" spans="1:11" x14ac:dyDescent="0.25">
      <c r="A258" s="235" t="s">
        <v>2225</v>
      </c>
      <c r="B258" t="s">
        <v>2226</v>
      </c>
      <c r="C258" s="231" t="s">
        <v>2227</v>
      </c>
      <c r="D258" s="235" t="str">
        <f t="shared" ref="D258:D321" si="8">_xlfn.CONCAT("NACE ", A258)</f>
        <v>NACE C - 23.44 Manufacture of other technical ceramic products</v>
      </c>
      <c r="K258" t="s">
        <v>2228</v>
      </c>
    </row>
    <row r="259" spans="1:11" x14ac:dyDescent="0.25">
      <c r="A259" s="235" t="s">
        <v>2229</v>
      </c>
      <c r="B259" t="s">
        <v>2230</v>
      </c>
      <c r="C259" s="234" t="s">
        <v>2231</v>
      </c>
      <c r="D259" s="235" t="str">
        <f t="shared" si="8"/>
        <v>NACE C - 23.45 Manufacture of other ceramic products</v>
      </c>
      <c r="K259" t="s">
        <v>2232</v>
      </c>
    </row>
    <row r="260" spans="1:11" x14ac:dyDescent="0.25">
      <c r="A260" s="234" t="s">
        <v>2233</v>
      </c>
      <c r="B260" t="s">
        <v>2234</v>
      </c>
      <c r="C260" s="234" t="s">
        <v>2235</v>
      </c>
      <c r="D260" s="234" t="str">
        <f t="shared" si="8"/>
        <v>NACE C - 23.5 Manufacture of cement, lime and plaster</v>
      </c>
      <c r="K260" t="s">
        <v>2236</v>
      </c>
    </row>
    <row r="261" spans="1:11" x14ac:dyDescent="0.25">
      <c r="A261" s="235" t="s">
        <v>2237</v>
      </c>
      <c r="B261" t="s">
        <v>2238</v>
      </c>
      <c r="C261" s="234" t="s">
        <v>2239</v>
      </c>
      <c r="D261" s="235" t="str">
        <f t="shared" si="8"/>
        <v>NACE C - 23.51 Manufacture of cement</v>
      </c>
      <c r="K261" t="s">
        <v>2240</v>
      </c>
    </row>
    <row r="262" spans="1:11" x14ac:dyDescent="0.25">
      <c r="A262" s="235" t="s">
        <v>2241</v>
      </c>
      <c r="B262" t="s">
        <v>2242</v>
      </c>
      <c r="C262" s="231" t="s">
        <v>2243</v>
      </c>
      <c r="D262" s="235" t="str">
        <f t="shared" si="8"/>
        <v>NACE C - 23.52 Manufacture of lime and plaster</v>
      </c>
      <c r="K262" t="s">
        <v>2244</v>
      </c>
    </row>
    <row r="263" spans="1:11" x14ac:dyDescent="0.25">
      <c r="A263" s="234" t="s">
        <v>2245</v>
      </c>
      <c r="B263" t="s">
        <v>2246</v>
      </c>
      <c r="C263" s="234" t="s">
        <v>2247</v>
      </c>
      <c r="D263" s="234" t="str">
        <f t="shared" si="8"/>
        <v>NACE C - 23.6 Manufacture of articles of concrete, cement and plaster</v>
      </c>
      <c r="K263" t="s">
        <v>2248</v>
      </c>
    </row>
    <row r="264" spans="1:11" x14ac:dyDescent="0.25">
      <c r="A264" s="235" t="s">
        <v>2249</v>
      </c>
      <c r="B264" t="s">
        <v>2250</v>
      </c>
      <c r="C264" s="234" t="s">
        <v>2251</v>
      </c>
      <c r="D264" s="235" t="str">
        <f t="shared" si="8"/>
        <v>NACE C - 23.61 Manufacture of concrete products for construction purposes</v>
      </c>
      <c r="K264" t="s">
        <v>2252</v>
      </c>
    </row>
    <row r="265" spans="1:11" x14ac:dyDescent="0.25">
      <c r="A265" s="235" t="s">
        <v>2253</v>
      </c>
      <c r="B265" t="s">
        <v>2254</v>
      </c>
      <c r="C265" s="232" t="s">
        <v>2255</v>
      </c>
      <c r="D265" s="235" t="str">
        <f t="shared" si="8"/>
        <v>NACE C - 23.62 Manufacture of plaster products for construction purposes</v>
      </c>
      <c r="K265" t="s">
        <v>2256</v>
      </c>
    </row>
    <row r="266" spans="1:11" x14ac:dyDescent="0.25">
      <c r="A266" s="235" t="s">
        <v>2257</v>
      </c>
      <c r="B266" t="s">
        <v>2258</v>
      </c>
      <c r="C266" s="231" t="s">
        <v>2259</v>
      </c>
      <c r="D266" s="235" t="str">
        <f t="shared" si="8"/>
        <v>NACE C - 23.63 Manufacture of ready-mixed concrete</v>
      </c>
      <c r="K266" t="s">
        <v>2260</v>
      </c>
    </row>
    <row r="267" spans="1:11" x14ac:dyDescent="0.25">
      <c r="A267" s="235" t="s">
        <v>2261</v>
      </c>
      <c r="B267" t="s">
        <v>2262</v>
      </c>
      <c r="C267" s="234" t="s">
        <v>2263</v>
      </c>
      <c r="D267" s="235" t="str">
        <f t="shared" si="8"/>
        <v>NACE C - 23.64 Manufacture of mortars</v>
      </c>
      <c r="K267" t="s">
        <v>2264</v>
      </c>
    </row>
    <row r="268" spans="1:11" x14ac:dyDescent="0.25">
      <c r="A268" s="235" t="s">
        <v>2265</v>
      </c>
      <c r="B268" t="s">
        <v>2266</v>
      </c>
      <c r="C268" s="234" t="s">
        <v>2267</v>
      </c>
      <c r="D268" s="235" t="str">
        <f t="shared" si="8"/>
        <v>NACE C - 23.65 Manufacture of fibre cement</v>
      </c>
      <c r="K268" t="s">
        <v>2268</v>
      </c>
    </row>
    <row r="269" spans="1:11" x14ac:dyDescent="0.25">
      <c r="A269" s="235" t="s">
        <v>2269</v>
      </c>
      <c r="B269" t="s">
        <v>2270</v>
      </c>
      <c r="C269" s="234" t="s">
        <v>2271</v>
      </c>
      <c r="D269" s="235" t="str">
        <f t="shared" si="8"/>
        <v>NACE C - 23.66 Manufacture of other articles of concrete, cement and plaster</v>
      </c>
      <c r="K269" t="s">
        <v>2272</v>
      </c>
    </row>
    <row r="270" spans="1:11" x14ac:dyDescent="0.25">
      <c r="A270" s="234" t="s">
        <v>2273</v>
      </c>
      <c r="B270" t="s">
        <v>2274</v>
      </c>
      <c r="C270" s="234" t="s">
        <v>2275</v>
      </c>
      <c r="D270" s="234" t="str">
        <f t="shared" si="8"/>
        <v>NACE C - 23.7 Cutting, shaping and finishing of stone</v>
      </c>
      <c r="K270" t="s">
        <v>2276</v>
      </c>
    </row>
    <row r="271" spans="1:11" x14ac:dyDescent="0.25">
      <c r="A271" s="235" t="s">
        <v>2277</v>
      </c>
      <c r="B271" t="s">
        <v>2278</v>
      </c>
      <c r="C271" s="231" t="s">
        <v>2279</v>
      </c>
      <c r="D271" s="235" t="str">
        <f t="shared" si="8"/>
        <v>NACE C - 23.70 Cutting, shaping and finishing of stone</v>
      </c>
      <c r="K271" t="s">
        <v>2280</v>
      </c>
    </row>
    <row r="272" spans="1:11" x14ac:dyDescent="0.25">
      <c r="A272" s="234" t="s">
        <v>2281</v>
      </c>
      <c r="B272" t="s">
        <v>2282</v>
      </c>
      <c r="C272" s="234" t="s">
        <v>2283</v>
      </c>
      <c r="D272" s="234" t="str">
        <f t="shared" si="8"/>
        <v>NACE C - 23.9 Manufacture of abrasive products and non-metallic mineral products n.e.c.</v>
      </c>
      <c r="K272" t="s">
        <v>2284</v>
      </c>
    </row>
    <row r="273" spans="1:11" x14ac:dyDescent="0.25">
      <c r="A273" s="235" t="s">
        <v>2285</v>
      </c>
      <c r="B273" t="s">
        <v>2286</v>
      </c>
      <c r="C273" s="234" t="s">
        <v>2287</v>
      </c>
      <c r="D273" s="235" t="str">
        <f t="shared" si="8"/>
        <v>NACE C - 23.91 Manufacture of abrasive products</v>
      </c>
      <c r="K273" t="s">
        <v>2288</v>
      </c>
    </row>
    <row r="274" spans="1:11" x14ac:dyDescent="0.25">
      <c r="A274" s="235" t="s">
        <v>2289</v>
      </c>
      <c r="B274" t="s">
        <v>2290</v>
      </c>
      <c r="C274" s="234" t="s">
        <v>2291</v>
      </c>
      <c r="D274" s="235" t="str">
        <f t="shared" si="8"/>
        <v>NACE C - 23.99 Manufacture of other non-metallic mineral products n.e.c.</v>
      </c>
      <c r="K274" t="s">
        <v>2292</v>
      </c>
    </row>
    <row r="275" spans="1:11" x14ac:dyDescent="0.25">
      <c r="A275" s="231" t="s">
        <v>2293</v>
      </c>
      <c r="B275" t="s">
        <v>2294</v>
      </c>
      <c r="C275" s="231" t="s">
        <v>2295</v>
      </c>
      <c r="D275" s="231" t="str">
        <f t="shared" si="8"/>
        <v>NACE C - 24 Manufacture of basic metals</v>
      </c>
      <c r="K275" t="s">
        <v>2296</v>
      </c>
    </row>
    <row r="276" spans="1:11" x14ac:dyDescent="0.25">
      <c r="A276" s="234" t="s">
        <v>2297</v>
      </c>
      <c r="B276" t="s">
        <v>2298</v>
      </c>
      <c r="C276" s="234" t="s">
        <v>2299</v>
      </c>
      <c r="D276" s="234" t="str">
        <f t="shared" si="8"/>
        <v>NACE C - 24.1 Manufacture of basic iron and steel and of ferro-alloys</v>
      </c>
      <c r="K276" t="s">
        <v>2300</v>
      </c>
    </row>
    <row r="277" spans="1:11" x14ac:dyDescent="0.25">
      <c r="A277" s="235" t="s">
        <v>2301</v>
      </c>
      <c r="B277" t="s">
        <v>2302</v>
      </c>
      <c r="C277" s="234" t="s">
        <v>2303</v>
      </c>
      <c r="D277" s="235" t="str">
        <f t="shared" si="8"/>
        <v>NACE C - 24.10 Manufacture of basic iron and steel and of ferro-alloys</v>
      </c>
      <c r="K277" t="s">
        <v>2304</v>
      </c>
    </row>
    <row r="278" spans="1:11" x14ac:dyDescent="0.25">
      <c r="A278" s="234" t="s">
        <v>2305</v>
      </c>
      <c r="B278" t="s">
        <v>2306</v>
      </c>
      <c r="C278" s="234" t="s">
        <v>2307</v>
      </c>
      <c r="D278" s="234" t="str">
        <f t="shared" si="8"/>
        <v>NACE C - 24.2 Manufacture of tubes, pipes, hollow profiles and related fittings, of steel</v>
      </c>
      <c r="K278" t="s">
        <v>2308</v>
      </c>
    </row>
    <row r="279" spans="1:11" x14ac:dyDescent="0.25">
      <c r="A279" s="235" t="s">
        <v>2309</v>
      </c>
      <c r="B279" t="s">
        <v>2310</v>
      </c>
      <c r="C279" s="232" t="s">
        <v>2311</v>
      </c>
      <c r="D279" s="235" t="str">
        <f t="shared" si="8"/>
        <v>NACE C - 24.20 Manufacture of tubes, pipes, hollow profiles and related fittings, of steel</v>
      </c>
      <c r="K279" t="s">
        <v>2312</v>
      </c>
    </row>
    <row r="280" spans="1:11" x14ac:dyDescent="0.25">
      <c r="A280" s="234" t="s">
        <v>2313</v>
      </c>
      <c r="B280" t="s">
        <v>2314</v>
      </c>
      <c r="C280" s="231" t="s">
        <v>2315</v>
      </c>
      <c r="D280" s="234" t="str">
        <f t="shared" si="8"/>
        <v>NACE C - 24.3 Manufacture of other products of first processing of steel</v>
      </c>
      <c r="K280" t="s">
        <v>2316</v>
      </c>
    </row>
    <row r="281" spans="1:11" x14ac:dyDescent="0.25">
      <c r="A281" s="235" t="s">
        <v>2317</v>
      </c>
      <c r="B281" t="s">
        <v>2318</v>
      </c>
      <c r="C281" s="234" t="s">
        <v>2319</v>
      </c>
      <c r="D281" s="235" t="str">
        <f t="shared" si="8"/>
        <v>NACE C - 24.31 Cold drawing of bars</v>
      </c>
      <c r="K281" t="s">
        <v>2320</v>
      </c>
    </row>
    <row r="282" spans="1:11" x14ac:dyDescent="0.25">
      <c r="A282" s="235" t="s">
        <v>2321</v>
      </c>
      <c r="B282" t="s">
        <v>2322</v>
      </c>
      <c r="C282" s="234" t="s">
        <v>2323</v>
      </c>
      <c r="D282" s="235" t="str">
        <f t="shared" si="8"/>
        <v>NACE C - 24.32 Cold rolling of narrow strip</v>
      </c>
      <c r="K282" t="s">
        <v>2324</v>
      </c>
    </row>
    <row r="283" spans="1:11" x14ac:dyDescent="0.25">
      <c r="A283" s="235" t="s">
        <v>2325</v>
      </c>
      <c r="B283" t="s">
        <v>2326</v>
      </c>
      <c r="C283" s="234" t="s">
        <v>2327</v>
      </c>
      <c r="D283" s="235" t="str">
        <f t="shared" si="8"/>
        <v>NACE C - 24.33 Cold forming or folding</v>
      </c>
      <c r="K283" t="s">
        <v>2328</v>
      </c>
    </row>
    <row r="284" spans="1:11" x14ac:dyDescent="0.25">
      <c r="A284" s="235" t="s">
        <v>2329</v>
      </c>
      <c r="B284" t="s">
        <v>2330</v>
      </c>
      <c r="C284" s="232" t="s">
        <v>2331</v>
      </c>
      <c r="D284" s="235" t="str">
        <f t="shared" si="8"/>
        <v>NACE C - 24.34 Cold drawing of wire</v>
      </c>
      <c r="K284" t="s">
        <v>2332</v>
      </c>
    </row>
    <row r="285" spans="1:11" x14ac:dyDescent="0.25">
      <c r="A285" s="234" t="s">
        <v>2333</v>
      </c>
      <c r="B285" t="s">
        <v>2334</v>
      </c>
      <c r="C285" s="231" t="s">
        <v>2335</v>
      </c>
      <c r="D285" s="234" t="str">
        <f t="shared" si="8"/>
        <v>NACE C - 24.4 Manufacture of basic precious and other non-ferrous metals</v>
      </c>
      <c r="K285" t="s">
        <v>2336</v>
      </c>
    </row>
    <row r="286" spans="1:11" x14ac:dyDescent="0.25">
      <c r="A286" s="235" t="s">
        <v>2337</v>
      </c>
      <c r="B286" t="s">
        <v>2338</v>
      </c>
      <c r="C286" s="234" t="s">
        <v>2339</v>
      </c>
      <c r="D286" s="235" t="str">
        <f t="shared" si="8"/>
        <v>NACE C - 24.41 Precious metals production</v>
      </c>
      <c r="K286" t="s">
        <v>2340</v>
      </c>
    </row>
    <row r="287" spans="1:11" x14ac:dyDescent="0.25">
      <c r="A287" s="235" t="s">
        <v>2341</v>
      </c>
      <c r="B287" t="s">
        <v>2342</v>
      </c>
      <c r="C287" s="234" t="s">
        <v>2343</v>
      </c>
      <c r="D287" s="235" t="str">
        <f t="shared" si="8"/>
        <v>NACE C - 24.42 Aluminium production</v>
      </c>
      <c r="K287" t="s">
        <v>2344</v>
      </c>
    </row>
    <row r="288" spans="1:11" x14ac:dyDescent="0.25">
      <c r="A288" s="235" t="s">
        <v>2345</v>
      </c>
      <c r="B288" t="s">
        <v>2346</v>
      </c>
      <c r="C288" s="231" t="s">
        <v>2347</v>
      </c>
      <c r="D288" s="235" t="str">
        <f t="shared" si="8"/>
        <v>NACE C - 24.43 Lead, zinc and tin production</v>
      </c>
      <c r="K288" t="s">
        <v>2348</v>
      </c>
    </row>
    <row r="289" spans="1:11" x14ac:dyDescent="0.25">
      <c r="A289" s="235" t="s">
        <v>2349</v>
      </c>
      <c r="B289" t="s">
        <v>2350</v>
      </c>
      <c r="C289" s="234" t="s">
        <v>2351</v>
      </c>
      <c r="D289" s="235" t="str">
        <f t="shared" si="8"/>
        <v>NACE C - 24.44 Copper production</v>
      </c>
      <c r="K289" t="s">
        <v>2352</v>
      </c>
    </row>
    <row r="290" spans="1:11" x14ac:dyDescent="0.25">
      <c r="A290" s="235" t="s">
        <v>2353</v>
      </c>
      <c r="B290" t="s">
        <v>2354</v>
      </c>
      <c r="C290" s="234" t="s">
        <v>2355</v>
      </c>
      <c r="D290" s="235" t="str">
        <f t="shared" si="8"/>
        <v>NACE C - 24.45 Other non-ferrous metal production</v>
      </c>
      <c r="K290" t="s">
        <v>2356</v>
      </c>
    </row>
    <row r="291" spans="1:11" x14ac:dyDescent="0.25">
      <c r="A291" s="235" t="s">
        <v>2357</v>
      </c>
      <c r="B291" t="s">
        <v>2358</v>
      </c>
      <c r="C291" s="231" t="s">
        <v>2359</v>
      </c>
      <c r="D291" s="235" t="str">
        <f t="shared" si="8"/>
        <v>NACE C - 24.46 Processing of nuclear fuel</v>
      </c>
      <c r="K291" t="s">
        <v>2360</v>
      </c>
    </row>
    <row r="292" spans="1:11" x14ac:dyDescent="0.25">
      <c r="A292" s="234" t="s">
        <v>2361</v>
      </c>
      <c r="B292" t="s">
        <v>2362</v>
      </c>
      <c r="C292" s="234" t="s">
        <v>2363</v>
      </c>
      <c r="D292" s="234" t="str">
        <f t="shared" si="8"/>
        <v>NACE C - 24.5 Casting of metals</v>
      </c>
      <c r="K292" t="s">
        <v>2364</v>
      </c>
    </row>
    <row r="293" spans="1:11" x14ac:dyDescent="0.25">
      <c r="A293" s="235" t="s">
        <v>2365</v>
      </c>
      <c r="B293" t="s">
        <v>2366</v>
      </c>
      <c r="C293" s="234" t="s">
        <v>2367</v>
      </c>
      <c r="D293" s="235" t="str">
        <f t="shared" si="8"/>
        <v>NACE C - 24.51 Casting of iron</v>
      </c>
      <c r="K293" t="s">
        <v>2368</v>
      </c>
    </row>
    <row r="294" spans="1:11" x14ac:dyDescent="0.25">
      <c r="A294" s="235" t="s">
        <v>2369</v>
      </c>
      <c r="B294" t="s">
        <v>2370</v>
      </c>
      <c r="C294" s="231" t="s">
        <v>2371</v>
      </c>
      <c r="D294" s="235" t="str">
        <f t="shared" si="8"/>
        <v>NACE C - 24.52 Casting of steel</v>
      </c>
      <c r="K294" t="s">
        <v>2372</v>
      </c>
    </row>
    <row r="295" spans="1:11" x14ac:dyDescent="0.25">
      <c r="A295" s="235" t="s">
        <v>2373</v>
      </c>
      <c r="B295" t="s">
        <v>2374</v>
      </c>
      <c r="C295" s="234" t="s">
        <v>2375</v>
      </c>
      <c r="D295" s="235" t="str">
        <f t="shared" si="8"/>
        <v>NACE C - 24.53 Casting of light metals</v>
      </c>
      <c r="K295" t="s">
        <v>2376</v>
      </c>
    </row>
    <row r="296" spans="1:11" x14ac:dyDescent="0.25">
      <c r="A296" s="235" t="s">
        <v>2377</v>
      </c>
      <c r="B296" t="s">
        <v>2378</v>
      </c>
      <c r="C296" s="234" t="s">
        <v>2379</v>
      </c>
      <c r="D296" s="235" t="str">
        <f t="shared" si="8"/>
        <v>NACE C - 24.54 Casting of other non-ferrous metals</v>
      </c>
      <c r="K296" t="s">
        <v>2380</v>
      </c>
    </row>
    <row r="297" spans="1:11" x14ac:dyDescent="0.25">
      <c r="A297" s="231" t="s">
        <v>2381</v>
      </c>
      <c r="B297" t="s">
        <v>2382</v>
      </c>
      <c r="C297" s="231" t="s">
        <v>2383</v>
      </c>
      <c r="D297" s="231" t="str">
        <f t="shared" si="8"/>
        <v>NACE C - 25 Manufacture of fabricated metal products, except machinery and equipment</v>
      </c>
      <c r="K297" t="s">
        <v>2384</v>
      </c>
    </row>
    <row r="298" spans="1:11" x14ac:dyDescent="0.25">
      <c r="A298" s="234" t="s">
        <v>2385</v>
      </c>
      <c r="B298" t="s">
        <v>2386</v>
      </c>
      <c r="C298" s="234" t="s">
        <v>2387</v>
      </c>
      <c r="D298" s="234" t="str">
        <f t="shared" si="8"/>
        <v>NACE C - 25.1 Manufacture of structural metal products</v>
      </c>
      <c r="K298" t="s">
        <v>2388</v>
      </c>
    </row>
    <row r="299" spans="1:11" x14ac:dyDescent="0.25">
      <c r="A299" s="235" t="s">
        <v>2389</v>
      </c>
      <c r="B299" t="s">
        <v>2390</v>
      </c>
      <c r="C299" s="234" t="s">
        <v>2391</v>
      </c>
      <c r="D299" s="235" t="str">
        <f t="shared" si="8"/>
        <v>NACE C - 25.11 Manufacture of metal structures and parts of structures</v>
      </c>
      <c r="K299" t="s">
        <v>2392</v>
      </c>
    </row>
    <row r="300" spans="1:11" x14ac:dyDescent="0.25">
      <c r="A300" s="235" t="s">
        <v>2393</v>
      </c>
      <c r="B300" t="s">
        <v>2394</v>
      </c>
      <c r="C300" s="234" t="s">
        <v>2395</v>
      </c>
      <c r="D300" s="235" t="str">
        <f t="shared" si="8"/>
        <v>NACE C - 25.12 Manufacture of doors and windows of metal</v>
      </c>
      <c r="K300" t="s">
        <v>2396</v>
      </c>
    </row>
    <row r="301" spans="1:11" x14ac:dyDescent="0.25">
      <c r="A301" s="234" t="s">
        <v>2397</v>
      </c>
      <c r="B301" t="s">
        <v>2398</v>
      </c>
      <c r="C301" s="231" t="s">
        <v>2399</v>
      </c>
      <c r="D301" s="234" t="str">
        <f t="shared" si="8"/>
        <v>NACE C - 25.2 Manufacture of tanks, reservoirs and containers of metal</v>
      </c>
      <c r="K301" t="s">
        <v>2400</v>
      </c>
    </row>
    <row r="302" spans="1:11" x14ac:dyDescent="0.25">
      <c r="A302" s="235" t="s">
        <v>2401</v>
      </c>
      <c r="B302" t="s">
        <v>2402</v>
      </c>
      <c r="C302" s="234" t="s">
        <v>2403</v>
      </c>
      <c r="D302" s="235" t="str">
        <f t="shared" si="8"/>
        <v>NACE C - 25.21 Manufacture of central heating radiators, steam generators and boilers</v>
      </c>
      <c r="K302" t="s">
        <v>2404</v>
      </c>
    </row>
    <row r="303" spans="1:11" x14ac:dyDescent="0.25">
      <c r="A303" s="235" t="s">
        <v>2405</v>
      </c>
      <c r="B303" t="s">
        <v>2406</v>
      </c>
      <c r="C303" s="234" t="s">
        <v>2407</v>
      </c>
      <c r="D303" s="235" t="str">
        <f t="shared" si="8"/>
        <v>NACE C - 25.22 Manufacture of other tanks, reservoirs and containers of metal</v>
      </c>
      <c r="K303" t="s">
        <v>2408</v>
      </c>
    </row>
    <row r="304" spans="1:11" x14ac:dyDescent="0.25">
      <c r="A304" s="234" t="s">
        <v>2409</v>
      </c>
      <c r="B304" t="s">
        <v>2410</v>
      </c>
      <c r="C304" s="234" t="s">
        <v>2411</v>
      </c>
      <c r="D304" s="234" t="str">
        <f t="shared" si="8"/>
        <v>NACE C - 25.3 Manufacture of weapons and ammunition</v>
      </c>
      <c r="K304" t="s">
        <v>2412</v>
      </c>
    </row>
    <row r="305" spans="1:11" x14ac:dyDescent="0.25">
      <c r="A305" s="235" t="s">
        <v>2413</v>
      </c>
      <c r="B305" t="s">
        <v>2414</v>
      </c>
      <c r="C305" s="234" t="s">
        <v>2415</v>
      </c>
      <c r="D305" s="235" t="str">
        <f t="shared" si="8"/>
        <v>NACE C - 25.30 Manufacture of weapons and ammunition</v>
      </c>
      <c r="K305" t="s">
        <v>2416</v>
      </c>
    </row>
    <row r="306" spans="1:11" x14ac:dyDescent="0.25">
      <c r="A306" s="234" t="s">
        <v>2417</v>
      </c>
      <c r="B306" t="s">
        <v>2418</v>
      </c>
      <c r="C306" s="231" t="s">
        <v>2419</v>
      </c>
      <c r="D306" s="234" t="str">
        <f t="shared" si="8"/>
        <v>NACE C - 25.4 Forging and shaping metal and powder metallurgy</v>
      </c>
      <c r="K306" t="s">
        <v>2420</v>
      </c>
    </row>
    <row r="307" spans="1:11" x14ac:dyDescent="0.25">
      <c r="A307" s="235" t="s">
        <v>2421</v>
      </c>
      <c r="B307" t="s">
        <v>2422</v>
      </c>
      <c r="C307" s="234" t="s">
        <v>2423</v>
      </c>
      <c r="D307" s="235" t="str">
        <f t="shared" si="8"/>
        <v>NACE C - 25.40 Forging and shaping metal and powder metallurgy</v>
      </c>
      <c r="K307" t="s">
        <v>2424</v>
      </c>
    </row>
    <row r="308" spans="1:11" x14ac:dyDescent="0.25">
      <c r="A308" s="234" t="s">
        <v>2425</v>
      </c>
      <c r="B308" t="s">
        <v>2426</v>
      </c>
      <c r="C308" s="232" t="s">
        <v>2427</v>
      </c>
      <c r="D308" s="234" t="str">
        <f t="shared" si="8"/>
        <v>NACE C - 25.5 Treatment and coating of metals; machining</v>
      </c>
      <c r="K308" t="s">
        <v>2428</v>
      </c>
    </row>
    <row r="309" spans="1:11" x14ac:dyDescent="0.25">
      <c r="A309" s="235" t="s">
        <v>2429</v>
      </c>
      <c r="B309" t="s">
        <v>2430</v>
      </c>
      <c r="C309" s="231" t="s">
        <v>2431</v>
      </c>
      <c r="D309" s="235" t="str">
        <f t="shared" si="8"/>
        <v>NACE C - 25.51 Coating of metals</v>
      </c>
      <c r="K309" t="s">
        <v>2432</v>
      </c>
    </row>
    <row r="310" spans="1:11" x14ac:dyDescent="0.25">
      <c r="A310" s="235" t="s">
        <v>2433</v>
      </c>
      <c r="B310" t="s">
        <v>2434</v>
      </c>
      <c r="C310" s="234" t="s">
        <v>2435</v>
      </c>
      <c r="D310" s="235" t="str">
        <f t="shared" si="8"/>
        <v>NACE C - 25.52 Heat treatment of metals</v>
      </c>
      <c r="K310" t="s">
        <v>2436</v>
      </c>
    </row>
    <row r="311" spans="1:11" x14ac:dyDescent="0.25">
      <c r="A311" s="235" t="s">
        <v>2437</v>
      </c>
      <c r="B311" t="s">
        <v>2438</v>
      </c>
      <c r="C311" s="234" t="s">
        <v>2439</v>
      </c>
      <c r="D311" s="235" t="str">
        <f t="shared" si="8"/>
        <v>NACE C - 25.53 Machining of metals</v>
      </c>
      <c r="K311" t="s">
        <v>2440</v>
      </c>
    </row>
    <row r="312" spans="1:11" x14ac:dyDescent="0.25">
      <c r="A312" s="234" t="s">
        <v>2441</v>
      </c>
      <c r="B312" t="s">
        <v>2442</v>
      </c>
      <c r="C312" s="234" t="s">
        <v>2443</v>
      </c>
      <c r="D312" s="234" t="str">
        <f t="shared" si="8"/>
        <v>NACE C - 25.6 Manufacture of cutlery, tools and general hardware</v>
      </c>
      <c r="K312" t="s">
        <v>2444</v>
      </c>
    </row>
    <row r="313" spans="1:11" x14ac:dyDescent="0.25">
      <c r="A313" s="235" t="s">
        <v>2445</v>
      </c>
      <c r="B313" t="s">
        <v>2446</v>
      </c>
      <c r="C313" s="234" t="s">
        <v>2447</v>
      </c>
      <c r="D313" s="235" t="str">
        <f t="shared" si="8"/>
        <v>NACE C - 25.61 Manufacture of cutlery</v>
      </c>
      <c r="K313" t="s">
        <v>2448</v>
      </c>
    </row>
    <row r="314" spans="1:11" x14ac:dyDescent="0.25">
      <c r="A314" s="235" t="s">
        <v>2449</v>
      </c>
      <c r="B314" t="s">
        <v>2450</v>
      </c>
      <c r="C314" s="234" t="s">
        <v>2451</v>
      </c>
      <c r="D314" s="235" t="str">
        <f t="shared" si="8"/>
        <v>NACE C - 25.62 Manufacture of locks and hinges</v>
      </c>
      <c r="K314" t="s">
        <v>2452</v>
      </c>
    </row>
    <row r="315" spans="1:11" x14ac:dyDescent="0.25">
      <c r="A315" s="235" t="s">
        <v>2453</v>
      </c>
      <c r="B315" t="s">
        <v>2454</v>
      </c>
      <c r="C315" s="231" t="s">
        <v>2455</v>
      </c>
      <c r="D315" s="235" t="str">
        <f t="shared" si="8"/>
        <v>NACE C - 25.63 Manufacture of tools</v>
      </c>
      <c r="K315" t="s">
        <v>2456</v>
      </c>
    </row>
    <row r="316" spans="1:11" x14ac:dyDescent="0.25">
      <c r="A316" s="234" t="s">
        <v>2457</v>
      </c>
      <c r="B316" t="s">
        <v>2458</v>
      </c>
      <c r="C316" s="234" t="s">
        <v>2459</v>
      </c>
      <c r="D316" s="234" t="str">
        <f t="shared" si="8"/>
        <v>NACE C - 25.9 Manufacture of other fabricated metal products</v>
      </c>
      <c r="K316" t="s">
        <v>2460</v>
      </c>
    </row>
    <row r="317" spans="1:11" x14ac:dyDescent="0.25">
      <c r="A317" s="235" t="s">
        <v>2461</v>
      </c>
      <c r="B317" t="s">
        <v>2462</v>
      </c>
      <c r="C317" s="234" t="s">
        <v>2463</v>
      </c>
      <c r="D317" s="235" t="str">
        <f t="shared" si="8"/>
        <v>NACE C - 25.91 Manufacture of steel drums and similar containers</v>
      </c>
      <c r="K317" t="s">
        <v>2464</v>
      </c>
    </row>
    <row r="318" spans="1:11" x14ac:dyDescent="0.25">
      <c r="A318" s="235" t="s">
        <v>2465</v>
      </c>
      <c r="B318" t="s">
        <v>2466</v>
      </c>
      <c r="C318" s="231" t="s">
        <v>2467</v>
      </c>
      <c r="D318" s="235" t="str">
        <f t="shared" si="8"/>
        <v>NACE C - 25.92 Manufacture of light metal packaging</v>
      </c>
      <c r="K318" t="s">
        <v>2468</v>
      </c>
    </row>
    <row r="319" spans="1:11" x14ac:dyDescent="0.25">
      <c r="A319" s="235" t="s">
        <v>2469</v>
      </c>
      <c r="B319" t="s">
        <v>2470</v>
      </c>
      <c r="C319" s="234" t="s">
        <v>2471</v>
      </c>
      <c r="D319" s="235" t="str">
        <f t="shared" si="8"/>
        <v>NACE C - 25.93 Manufacture of wire products, chain and springs</v>
      </c>
      <c r="K319" t="s">
        <v>2472</v>
      </c>
    </row>
    <row r="320" spans="1:11" x14ac:dyDescent="0.25">
      <c r="A320" s="235" t="s">
        <v>2473</v>
      </c>
      <c r="B320" t="s">
        <v>2474</v>
      </c>
      <c r="C320" s="234" t="s">
        <v>2475</v>
      </c>
      <c r="D320" s="235" t="str">
        <f t="shared" si="8"/>
        <v>NACE C - 25.94 Manufacture of fasteners and screw machine products</v>
      </c>
      <c r="K320" t="s">
        <v>2476</v>
      </c>
    </row>
    <row r="321" spans="1:11" x14ac:dyDescent="0.25">
      <c r="A321" s="235" t="s">
        <v>2477</v>
      </c>
      <c r="B321" t="s">
        <v>2478</v>
      </c>
      <c r="C321" s="231" t="s">
        <v>2479</v>
      </c>
      <c r="D321" s="235" t="str">
        <f t="shared" si="8"/>
        <v>NACE C - 25.99 Manufacture of other fabricated metal products n.e.c.</v>
      </c>
      <c r="K321" t="s">
        <v>2480</v>
      </c>
    </row>
    <row r="322" spans="1:11" x14ac:dyDescent="0.25">
      <c r="A322" s="231" t="s">
        <v>2481</v>
      </c>
      <c r="B322" t="s">
        <v>2482</v>
      </c>
      <c r="C322" s="234" t="s">
        <v>2483</v>
      </c>
      <c r="D322" s="231" t="str">
        <f t="shared" ref="D322:D385" si="9">_xlfn.CONCAT("NACE ", A322)</f>
        <v>NACE C - 26 Manufacture of computer, electronic and optical products</v>
      </c>
      <c r="K322" t="s">
        <v>2484</v>
      </c>
    </row>
    <row r="323" spans="1:11" x14ac:dyDescent="0.25">
      <c r="A323" s="234" t="s">
        <v>2485</v>
      </c>
      <c r="B323" t="s">
        <v>2486</v>
      </c>
      <c r="C323" s="231" t="s">
        <v>2487</v>
      </c>
      <c r="D323" s="234" t="str">
        <f t="shared" si="9"/>
        <v>NACE C - 26.1 Manufacture of electronic components and boards</v>
      </c>
      <c r="K323" t="s">
        <v>2488</v>
      </c>
    </row>
    <row r="324" spans="1:11" x14ac:dyDescent="0.25">
      <c r="A324" s="235" t="s">
        <v>2489</v>
      </c>
      <c r="B324" t="s">
        <v>2490</v>
      </c>
      <c r="C324" s="234" t="s">
        <v>2491</v>
      </c>
      <c r="D324" s="235" t="str">
        <f t="shared" si="9"/>
        <v>NACE C - 26.11 Manufacture of electronic components</v>
      </c>
      <c r="K324" t="s">
        <v>2492</v>
      </c>
    </row>
    <row r="325" spans="1:11" x14ac:dyDescent="0.25">
      <c r="A325" s="235" t="s">
        <v>2493</v>
      </c>
      <c r="B325" t="s">
        <v>2494</v>
      </c>
      <c r="C325" s="234" t="s">
        <v>2495</v>
      </c>
      <c r="D325" s="235" t="str">
        <f t="shared" si="9"/>
        <v>NACE C - 26.12 Manufacture of loaded electronic boards</v>
      </c>
      <c r="K325" t="s">
        <v>2496</v>
      </c>
    </row>
    <row r="326" spans="1:11" x14ac:dyDescent="0.25">
      <c r="A326" s="234" t="s">
        <v>2497</v>
      </c>
      <c r="B326" t="s">
        <v>2498</v>
      </c>
      <c r="C326" s="234" t="s">
        <v>2499</v>
      </c>
      <c r="D326" s="234" t="str">
        <f t="shared" si="9"/>
        <v>NACE C - 26.2 Manufacture of computers and peripheral equipment</v>
      </c>
      <c r="K326" t="s">
        <v>2500</v>
      </c>
    </row>
    <row r="327" spans="1:11" x14ac:dyDescent="0.25">
      <c r="A327" s="235" t="s">
        <v>2501</v>
      </c>
      <c r="B327" t="s">
        <v>2502</v>
      </c>
      <c r="C327" s="231" t="s">
        <v>2503</v>
      </c>
      <c r="D327" s="235" t="str">
        <f t="shared" si="9"/>
        <v>NACE C - 26.20 Manufacture of computers and peripheral equipment</v>
      </c>
      <c r="K327" t="s">
        <v>2504</v>
      </c>
    </row>
    <row r="328" spans="1:11" x14ac:dyDescent="0.25">
      <c r="A328" s="234" t="s">
        <v>2505</v>
      </c>
      <c r="B328" t="s">
        <v>2506</v>
      </c>
      <c r="C328" s="234" t="s">
        <v>2507</v>
      </c>
      <c r="D328" s="234" t="str">
        <f t="shared" si="9"/>
        <v>NACE C - 26.3 Manufacture of communication equipment</v>
      </c>
      <c r="K328" t="s">
        <v>2508</v>
      </c>
    </row>
    <row r="329" spans="1:11" x14ac:dyDescent="0.25">
      <c r="A329" s="235" t="s">
        <v>2509</v>
      </c>
      <c r="B329" t="s">
        <v>2510</v>
      </c>
      <c r="C329" s="234" t="s">
        <v>2511</v>
      </c>
      <c r="D329" s="235" t="str">
        <f t="shared" si="9"/>
        <v>NACE C - 26.30 Manufacture of communication equipment</v>
      </c>
      <c r="K329" t="s">
        <v>2512</v>
      </c>
    </row>
    <row r="330" spans="1:11" x14ac:dyDescent="0.25">
      <c r="A330" s="234" t="s">
        <v>2513</v>
      </c>
      <c r="B330" t="s">
        <v>2514</v>
      </c>
      <c r="C330" s="234" t="s">
        <v>2515</v>
      </c>
      <c r="D330" s="234" t="str">
        <f t="shared" si="9"/>
        <v>NACE C - 26.4 Manufacture of consumer electronics</v>
      </c>
      <c r="K330" t="s">
        <v>2516</v>
      </c>
    </row>
    <row r="331" spans="1:11" x14ac:dyDescent="0.25">
      <c r="A331" s="235" t="s">
        <v>2517</v>
      </c>
      <c r="B331" t="s">
        <v>2518</v>
      </c>
      <c r="C331" s="234" t="s">
        <v>2519</v>
      </c>
      <c r="D331" s="235" t="str">
        <f t="shared" si="9"/>
        <v>NACE C - 26.40 Manufacture of consumer electronics</v>
      </c>
      <c r="K331" t="s">
        <v>2520</v>
      </c>
    </row>
    <row r="332" spans="1:11" x14ac:dyDescent="0.25">
      <c r="A332" s="234" t="s">
        <v>2521</v>
      </c>
      <c r="B332" t="s">
        <v>2522</v>
      </c>
      <c r="C332" s="234" t="s">
        <v>2523</v>
      </c>
      <c r="D332" s="234" t="str">
        <f t="shared" si="9"/>
        <v>NACE C - 26.5 Manufacture of measuring testing instruments, clocks and watches</v>
      </c>
      <c r="K332" t="s">
        <v>2524</v>
      </c>
    </row>
    <row r="333" spans="1:11" x14ac:dyDescent="0.25">
      <c r="A333" s="235" t="s">
        <v>2525</v>
      </c>
      <c r="B333" t="s">
        <v>2526</v>
      </c>
      <c r="C333" s="232" t="s">
        <v>2527</v>
      </c>
      <c r="D333" s="235" t="str">
        <f t="shared" si="9"/>
        <v>NACE C - 26.51 Manufacture of instruments and appliances for measuring, testing and navigation</v>
      </c>
      <c r="K333" t="s">
        <v>2528</v>
      </c>
    </row>
    <row r="334" spans="1:11" x14ac:dyDescent="0.25">
      <c r="A334" s="235" t="s">
        <v>2529</v>
      </c>
      <c r="B334" t="s">
        <v>2530</v>
      </c>
      <c r="C334" s="231" t="s">
        <v>2531</v>
      </c>
      <c r="D334" s="235" t="str">
        <f t="shared" si="9"/>
        <v>NACE C - 26.52 Manufacture of watches and clocks</v>
      </c>
      <c r="K334" t="s">
        <v>2532</v>
      </c>
    </row>
    <row r="335" spans="1:11" x14ac:dyDescent="0.25">
      <c r="A335" s="234" t="s">
        <v>2533</v>
      </c>
      <c r="B335" t="s">
        <v>2534</v>
      </c>
      <c r="C335" s="234" t="s">
        <v>2535</v>
      </c>
      <c r="D335" s="234" t="str">
        <f t="shared" si="9"/>
        <v>NACE C - 26.6 Manufacture of irradiation, electromedical and electrotherapeutic equipment</v>
      </c>
      <c r="K335" t="s">
        <v>2536</v>
      </c>
    </row>
    <row r="336" spans="1:11" x14ac:dyDescent="0.25">
      <c r="A336" s="235" t="s">
        <v>2537</v>
      </c>
      <c r="B336" t="s">
        <v>2538</v>
      </c>
      <c r="C336" s="234" t="s">
        <v>2539</v>
      </c>
      <c r="D336" s="235" t="str">
        <f t="shared" si="9"/>
        <v>NACE C - 26.60 Manufacture of irradiation, electromedical and electrotherapeutic equipment</v>
      </c>
      <c r="K336" t="s">
        <v>2540</v>
      </c>
    </row>
    <row r="337" spans="1:11" x14ac:dyDescent="0.25">
      <c r="A337" s="234" t="s">
        <v>2541</v>
      </c>
      <c r="B337" t="s">
        <v>2542</v>
      </c>
      <c r="C337" s="234" t="s">
        <v>2543</v>
      </c>
      <c r="D337" s="234" t="str">
        <f t="shared" si="9"/>
        <v>NACE C - 26.7 Manufacture of optical instruments, magnetic and optical media and photographic equipment</v>
      </c>
      <c r="K337" t="s">
        <v>2544</v>
      </c>
    </row>
    <row r="338" spans="1:11" x14ac:dyDescent="0.25">
      <c r="A338" s="235" t="s">
        <v>2545</v>
      </c>
      <c r="B338" t="s">
        <v>2546</v>
      </c>
      <c r="C338" s="232" t="s">
        <v>2547</v>
      </c>
      <c r="D338" s="235" t="str">
        <f t="shared" si="9"/>
        <v>NACE C - 26.70 Manufacture of optical instruments, magnetic and optical media and photographic equipment</v>
      </c>
      <c r="K338" t="s">
        <v>2548</v>
      </c>
    </row>
    <row r="339" spans="1:11" x14ac:dyDescent="0.25">
      <c r="A339" s="231" t="s">
        <v>2549</v>
      </c>
      <c r="B339" t="s">
        <v>2550</v>
      </c>
      <c r="C339" s="231" t="s">
        <v>2551</v>
      </c>
      <c r="D339" s="231" t="str">
        <f t="shared" si="9"/>
        <v>NACE C - 27 Manufacture of electrical equipment</v>
      </c>
      <c r="K339" t="s">
        <v>2552</v>
      </c>
    </row>
    <row r="340" spans="1:11" x14ac:dyDescent="0.25">
      <c r="A340" s="234" t="s">
        <v>2553</v>
      </c>
      <c r="B340" t="s">
        <v>2554</v>
      </c>
      <c r="C340" s="234" t="s">
        <v>2555</v>
      </c>
      <c r="D340" s="234" t="str">
        <f t="shared" si="9"/>
        <v>NACE C - 27.1 Manufacture of electric motors, generators, transformers and electricity distribution and control apparatus</v>
      </c>
      <c r="K340" t="s">
        <v>2556</v>
      </c>
    </row>
    <row r="341" spans="1:11" x14ac:dyDescent="0.25">
      <c r="A341" s="235" t="s">
        <v>2557</v>
      </c>
      <c r="B341" t="s">
        <v>2558</v>
      </c>
      <c r="C341" s="234" t="s">
        <v>2559</v>
      </c>
      <c r="D341" s="235" t="str">
        <f t="shared" si="9"/>
        <v>NACE C - 27.11 Manufacture of electric motors, generators and transformers</v>
      </c>
      <c r="K341" t="s">
        <v>2560</v>
      </c>
    </row>
    <row r="342" spans="1:11" x14ac:dyDescent="0.25">
      <c r="A342" s="235" t="s">
        <v>2561</v>
      </c>
      <c r="B342" t="s">
        <v>2562</v>
      </c>
      <c r="C342" s="234" t="s">
        <v>2563</v>
      </c>
      <c r="D342" s="235" t="str">
        <f t="shared" si="9"/>
        <v>NACE C - 27.12 Manufacture of electricity distribution and control apparatus</v>
      </c>
      <c r="K342" t="s">
        <v>2564</v>
      </c>
    </row>
    <row r="343" spans="1:11" x14ac:dyDescent="0.25">
      <c r="A343" s="234" t="s">
        <v>2565</v>
      </c>
      <c r="B343" t="s">
        <v>2566</v>
      </c>
      <c r="C343" s="234" t="s">
        <v>2567</v>
      </c>
      <c r="D343" s="234" t="str">
        <f t="shared" si="9"/>
        <v>NACE C - 27.2 Manufacture of batteries and accumulators</v>
      </c>
      <c r="K343" t="s">
        <v>2568</v>
      </c>
    </row>
    <row r="344" spans="1:11" x14ac:dyDescent="0.25">
      <c r="A344" s="235" t="s">
        <v>2569</v>
      </c>
      <c r="B344" t="s">
        <v>2570</v>
      </c>
      <c r="C344" s="234" t="s">
        <v>2571</v>
      </c>
      <c r="D344" s="235" t="str">
        <f t="shared" si="9"/>
        <v>NACE C - 27.20 Manufacture of batteries and accumulators</v>
      </c>
      <c r="K344" t="s">
        <v>2572</v>
      </c>
    </row>
    <row r="345" spans="1:11" x14ac:dyDescent="0.25">
      <c r="A345" s="234" t="s">
        <v>2573</v>
      </c>
      <c r="B345" t="s">
        <v>2574</v>
      </c>
      <c r="C345" s="234" t="s">
        <v>2575</v>
      </c>
      <c r="D345" s="234" t="str">
        <f t="shared" si="9"/>
        <v>NACE C - 27.3 Manufacture of wiring and wiring devices</v>
      </c>
      <c r="K345" t="s">
        <v>2576</v>
      </c>
    </row>
    <row r="346" spans="1:11" x14ac:dyDescent="0.25">
      <c r="A346" s="235" t="s">
        <v>2577</v>
      </c>
      <c r="B346" t="s">
        <v>2578</v>
      </c>
      <c r="C346" s="232" t="s">
        <v>2579</v>
      </c>
      <c r="D346" s="235" t="str">
        <f t="shared" si="9"/>
        <v>NACE C - 27.31 Manufacture of fibre optic cables</v>
      </c>
      <c r="K346" t="s">
        <v>2580</v>
      </c>
    </row>
    <row r="347" spans="1:11" x14ac:dyDescent="0.25">
      <c r="A347" s="235" t="s">
        <v>2581</v>
      </c>
      <c r="B347" t="s">
        <v>2582</v>
      </c>
      <c r="C347" s="231" t="s">
        <v>2583</v>
      </c>
      <c r="D347" s="235" t="str">
        <f t="shared" si="9"/>
        <v>NACE C - 27.32 Manufacture of other electronic and electric wires and cables</v>
      </c>
      <c r="K347" t="s">
        <v>2584</v>
      </c>
    </row>
    <row r="348" spans="1:11" x14ac:dyDescent="0.25">
      <c r="A348" s="235" t="s">
        <v>2585</v>
      </c>
      <c r="B348" t="s">
        <v>2586</v>
      </c>
      <c r="C348" s="234" t="s">
        <v>2587</v>
      </c>
      <c r="D348" s="235" t="str">
        <f t="shared" si="9"/>
        <v>NACE C - 27.33 Manufacture of wiring devices</v>
      </c>
      <c r="K348" t="s">
        <v>2588</v>
      </c>
    </row>
    <row r="349" spans="1:11" x14ac:dyDescent="0.25">
      <c r="A349" s="234" t="s">
        <v>2589</v>
      </c>
      <c r="B349" t="s">
        <v>2590</v>
      </c>
      <c r="C349" s="234" t="s">
        <v>2591</v>
      </c>
      <c r="D349" s="234" t="str">
        <f t="shared" si="9"/>
        <v>NACE C - 27.4 Manufacture of lighting equipment</v>
      </c>
      <c r="K349" t="s">
        <v>2592</v>
      </c>
    </row>
    <row r="350" spans="1:11" x14ac:dyDescent="0.25">
      <c r="A350" s="235" t="s">
        <v>2593</v>
      </c>
      <c r="B350" t="s">
        <v>2594</v>
      </c>
      <c r="C350" s="234" t="s">
        <v>2595</v>
      </c>
      <c r="D350" s="235" t="str">
        <f t="shared" si="9"/>
        <v>NACE C - 27.40 Manufacture of lighting equipment</v>
      </c>
      <c r="K350" t="s">
        <v>2596</v>
      </c>
    </row>
    <row r="351" spans="1:11" x14ac:dyDescent="0.25">
      <c r="A351" s="234" t="s">
        <v>2597</v>
      </c>
      <c r="B351" t="s">
        <v>2598</v>
      </c>
      <c r="C351" s="231" t="s">
        <v>2599</v>
      </c>
      <c r="D351" s="234" t="str">
        <f t="shared" si="9"/>
        <v>NACE C - 27.5 Manufacture of domestic appliances</v>
      </c>
      <c r="K351" t="s">
        <v>2600</v>
      </c>
    </row>
    <row r="352" spans="1:11" x14ac:dyDescent="0.25">
      <c r="A352" s="235" t="s">
        <v>2601</v>
      </c>
      <c r="B352" t="s">
        <v>2602</v>
      </c>
      <c r="C352" s="234" t="s">
        <v>2603</v>
      </c>
      <c r="D352" s="235" t="str">
        <f t="shared" si="9"/>
        <v>NACE C - 27.51 Manufacture of electric domestic appliances</v>
      </c>
      <c r="K352" t="s">
        <v>2604</v>
      </c>
    </row>
    <row r="353" spans="1:11" x14ac:dyDescent="0.25">
      <c r="A353" s="235" t="s">
        <v>2605</v>
      </c>
      <c r="B353" t="s">
        <v>2606</v>
      </c>
      <c r="C353" s="234" t="s">
        <v>2607</v>
      </c>
      <c r="D353" s="235" t="str">
        <f t="shared" si="9"/>
        <v>NACE C - 27.52 Manufacture of non-electric domestic appliances</v>
      </c>
      <c r="K353" t="s">
        <v>2608</v>
      </c>
    </row>
    <row r="354" spans="1:11" x14ac:dyDescent="0.25">
      <c r="A354" s="234" t="s">
        <v>2609</v>
      </c>
      <c r="B354" t="s">
        <v>2610</v>
      </c>
      <c r="C354" s="234" t="s">
        <v>2611</v>
      </c>
      <c r="D354" s="234" t="str">
        <f t="shared" si="9"/>
        <v>NACE C - 27.9 Manufacture of other electrical equipment</v>
      </c>
      <c r="K354" t="s">
        <v>2612</v>
      </c>
    </row>
    <row r="355" spans="1:11" x14ac:dyDescent="0.25">
      <c r="A355" s="235" t="s">
        <v>2613</v>
      </c>
      <c r="B355" t="s">
        <v>2614</v>
      </c>
      <c r="C355" s="234" t="s">
        <v>2615</v>
      </c>
      <c r="D355" s="235" t="str">
        <f t="shared" si="9"/>
        <v>NACE C - 27.90 Manufacture of other electrical equipment</v>
      </c>
      <c r="K355" t="s">
        <v>2616</v>
      </c>
    </row>
    <row r="356" spans="1:11" x14ac:dyDescent="0.25">
      <c r="A356" s="231" t="s">
        <v>2617</v>
      </c>
      <c r="B356" t="s">
        <v>2618</v>
      </c>
      <c r="C356" s="231" t="s">
        <v>2619</v>
      </c>
      <c r="D356" s="231" t="str">
        <f t="shared" si="9"/>
        <v>NACE C - 28 Manufacture of machinery and equipment n.e.c.</v>
      </c>
      <c r="K356" t="s">
        <v>2620</v>
      </c>
    </row>
    <row r="357" spans="1:11" x14ac:dyDescent="0.25">
      <c r="A357" s="234" t="s">
        <v>2621</v>
      </c>
      <c r="B357" t="s">
        <v>2622</v>
      </c>
      <c r="C357" s="234" t="s">
        <v>2623</v>
      </c>
      <c r="D357" s="234" t="str">
        <f t="shared" si="9"/>
        <v>NACE C - 28.1 Manufacture of general-purpose machinery</v>
      </c>
      <c r="K357" t="s">
        <v>2624</v>
      </c>
    </row>
    <row r="358" spans="1:11" x14ac:dyDescent="0.25">
      <c r="A358" s="235" t="s">
        <v>2625</v>
      </c>
      <c r="B358" t="s">
        <v>2626</v>
      </c>
      <c r="C358" s="234" t="s">
        <v>2627</v>
      </c>
      <c r="D358" s="235" t="str">
        <f t="shared" si="9"/>
        <v>NACE C - 28.11 Manufacture of engines and turbines, except aircraft, vehicle and cycle engines</v>
      </c>
      <c r="K358" t="s">
        <v>2628</v>
      </c>
    </row>
    <row r="359" spans="1:11" x14ac:dyDescent="0.25">
      <c r="A359" s="235" t="s">
        <v>2629</v>
      </c>
      <c r="B359" t="s">
        <v>2630</v>
      </c>
      <c r="C359" s="232" t="s">
        <v>2631</v>
      </c>
      <c r="D359" s="235" t="str">
        <f t="shared" si="9"/>
        <v>NACE C - 28.12 Manufacture of fluid power equipment</v>
      </c>
      <c r="K359" t="s">
        <v>2632</v>
      </c>
    </row>
    <row r="360" spans="1:11" x14ac:dyDescent="0.25">
      <c r="A360" s="235" t="s">
        <v>2633</v>
      </c>
      <c r="B360" t="s">
        <v>2634</v>
      </c>
      <c r="C360" s="231" t="s">
        <v>2635</v>
      </c>
      <c r="D360" s="235" t="str">
        <f t="shared" si="9"/>
        <v>NACE C - 28.13 Manufacture of other pumps and compressors</v>
      </c>
      <c r="K360" t="s">
        <v>2636</v>
      </c>
    </row>
    <row r="361" spans="1:11" x14ac:dyDescent="0.25">
      <c r="A361" s="235" t="s">
        <v>2637</v>
      </c>
      <c r="B361" t="s">
        <v>2638</v>
      </c>
      <c r="C361" s="234" t="s">
        <v>2639</v>
      </c>
      <c r="D361" s="235" t="str">
        <f t="shared" si="9"/>
        <v>NACE C - 28.14 Manufacture of other taps and valves</v>
      </c>
      <c r="K361" t="s">
        <v>2640</v>
      </c>
    </row>
    <row r="362" spans="1:11" x14ac:dyDescent="0.25">
      <c r="A362" s="235" t="s">
        <v>2641</v>
      </c>
      <c r="B362" t="s">
        <v>2642</v>
      </c>
      <c r="C362" s="234" t="s">
        <v>2643</v>
      </c>
      <c r="D362" s="235" t="str">
        <f t="shared" si="9"/>
        <v>NACE C - 28.15 Manufacture of bearings, gears, gearing and driving elements</v>
      </c>
      <c r="K362" t="s">
        <v>2644</v>
      </c>
    </row>
    <row r="363" spans="1:11" x14ac:dyDescent="0.25">
      <c r="A363" s="234" t="s">
        <v>2645</v>
      </c>
      <c r="B363" t="s">
        <v>2646</v>
      </c>
      <c r="C363" s="234" t="s">
        <v>2647</v>
      </c>
      <c r="D363" s="234" t="str">
        <f t="shared" si="9"/>
        <v>NACE C - 28.2 Manufacture of other general-purpose machinery</v>
      </c>
      <c r="K363" t="s">
        <v>2648</v>
      </c>
    </row>
    <row r="364" spans="1:11" x14ac:dyDescent="0.25">
      <c r="A364" s="235" t="s">
        <v>2649</v>
      </c>
      <c r="B364" t="s">
        <v>2650</v>
      </c>
      <c r="C364" s="231" t="s">
        <v>2651</v>
      </c>
      <c r="D364" s="235" t="str">
        <f t="shared" si="9"/>
        <v>NACE C - 28.21 Manufacture of ovens, furnaces and permanent household heating equipment</v>
      </c>
      <c r="K364" t="s">
        <v>2652</v>
      </c>
    </row>
    <row r="365" spans="1:11" x14ac:dyDescent="0.25">
      <c r="A365" s="235" t="s">
        <v>2653</v>
      </c>
      <c r="B365" t="s">
        <v>2654</v>
      </c>
      <c r="C365" s="234" t="s">
        <v>2655</v>
      </c>
      <c r="D365" s="235" t="str">
        <f t="shared" si="9"/>
        <v>NACE C - 28.22 Manufacture of lifting and handling equipment</v>
      </c>
      <c r="K365" t="s">
        <v>2656</v>
      </c>
    </row>
    <row r="366" spans="1:11" x14ac:dyDescent="0.25">
      <c r="A366" s="235" t="s">
        <v>2657</v>
      </c>
      <c r="B366" t="s">
        <v>2658</v>
      </c>
      <c r="C366" s="234" t="s">
        <v>2659</v>
      </c>
      <c r="D366" s="235" t="str">
        <f t="shared" si="9"/>
        <v>NACE C - 28.23 Manufacture of office machinery and equipment, except computers and peripheral equipment</v>
      </c>
      <c r="K366" t="s">
        <v>2660</v>
      </c>
    </row>
    <row r="367" spans="1:11" x14ac:dyDescent="0.25">
      <c r="A367" s="235" t="s">
        <v>2661</v>
      </c>
      <c r="B367" t="s">
        <v>2662</v>
      </c>
      <c r="C367" s="234" t="s">
        <v>2663</v>
      </c>
      <c r="D367" s="235" t="str">
        <f t="shared" si="9"/>
        <v>NACE C - 28.24 Manufacture of power-driven hand tools</v>
      </c>
      <c r="K367" t="s">
        <v>2664</v>
      </c>
    </row>
    <row r="368" spans="1:11" x14ac:dyDescent="0.25">
      <c r="A368" s="235" t="s">
        <v>2665</v>
      </c>
      <c r="B368" t="s">
        <v>2666</v>
      </c>
      <c r="C368" s="234" t="s">
        <v>2667</v>
      </c>
      <c r="D368" s="235" t="str">
        <f t="shared" si="9"/>
        <v>NACE C - 28.25 Manufacture of non-domestic air conditioning equipment</v>
      </c>
      <c r="K368" t="s">
        <v>2668</v>
      </c>
    </row>
    <row r="369" spans="1:11" x14ac:dyDescent="0.25">
      <c r="A369" s="235" t="s">
        <v>2669</v>
      </c>
      <c r="B369" t="s">
        <v>2670</v>
      </c>
      <c r="C369" s="231" t="s">
        <v>2671</v>
      </c>
      <c r="D369" s="235" t="str">
        <f t="shared" si="9"/>
        <v>NACE C - 28.29 Manufacture of other general-purpose machinery n.e.c.</v>
      </c>
      <c r="K369" t="s">
        <v>2672</v>
      </c>
    </row>
    <row r="370" spans="1:11" x14ac:dyDescent="0.25">
      <c r="A370" s="234" t="s">
        <v>2673</v>
      </c>
      <c r="B370" t="s">
        <v>2674</v>
      </c>
      <c r="C370" s="234" t="s">
        <v>2675</v>
      </c>
      <c r="D370" s="234" t="str">
        <f t="shared" si="9"/>
        <v>NACE C - 28.3 Manufacture of agricultural and forestry machinery</v>
      </c>
      <c r="K370" t="s">
        <v>2676</v>
      </c>
    </row>
    <row r="371" spans="1:11" x14ac:dyDescent="0.25">
      <c r="A371" s="235" t="s">
        <v>2677</v>
      </c>
      <c r="B371" t="s">
        <v>2678</v>
      </c>
      <c r="C371" s="231" t="s">
        <v>2679</v>
      </c>
      <c r="D371" s="235" t="str">
        <f t="shared" si="9"/>
        <v>NACE C - 28.30 Manufacture of agricultural and forestry machinery</v>
      </c>
      <c r="K371" t="s">
        <v>2680</v>
      </c>
    </row>
    <row r="372" spans="1:11" x14ac:dyDescent="0.25">
      <c r="A372" s="234" t="s">
        <v>2681</v>
      </c>
      <c r="B372" t="s">
        <v>2682</v>
      </c>
      <c r="C372" s="234" t="s">
        <v>2683</v>
      </c>
      <c r="D372" s="234" t="str">
        <f t="shared" si="9"/>
        <v>NACE C - 28.4 Manufacture of metal forming machinery and machine tools</v>
      </c>
      <c r="K372" t="s">
        <v>2684</v>
      </c>
    </row>
    <row r="373" spans="1:11" x14ac:dyDescent="0.25">
      <c r="A373" s="235" t="s">
        <v>2685</v>
      </c>
      <c r="B373" t="s">
        <v>2686</v>
      </c>
      <c r="C373" s="234" t="s">
        <v>2687</v>
      </c>
      <c r="D373" s="235" t="str">
        <f t="shared" si="9"/>
        <v>NACE C - 28.41 Manufacture of metal forming machinery and machine tools for metal work</v>
      </c>
      <c r="K373" t="s">
        <v>2688</v>
      </c>
    </row>
    <row r="374" spans="1:11" x14ac:dyDescent="0.25">
      <c r="A374" s="235" t="s">
        <v>2689</v>
      </c>
      <c r="B374" t="s">
        <v>2690</v>
      </c>
      <c r="C374" s="232" t="s">
        <v>2691</v>
      </c>
      <c r="D374" s="235" t="str">
        <f t="shared" si="9"/>
        <v>NACE C - 28.42 Manufacture of other machine tools</v>
      </c>
      <c r="K374" t="s">
        <v>2692</v>
      </c>
    </row>
    <row r="375" spans="1:11" x14ac:dyDescent="0.25">
      <c r="A375" s="234" t="s">
        <v>2693</v>
      </c>
      <c r="B375" t="s">
        <v>2694</v>
      </c>
      <c r="C375" s="231" t="s">
        <v>2695</v>
      </c>
      <c r="D375" s="234" t="str">
        <f t="shared" si="9"/>
        <v>NACE C - 28.9 Manufacture of other special-purpose machinery</v>
      </c>
      <c r="K375" t="s">
        <v>2696</v>
      </c>
    </row>
    <row r="376" spans="1:11" x14ac:dyDescent="0.25">
      <c r="A376" s="235" t="s">
        <v>2697</v>
      </c>
      <c r="B376" t="s">
        <v>2698</v>
      </c>
      <c r="C376" s="234" t="s">
        <v>2699</v>
      </c>
      <c r="D376" s="235" t="str">
        <f t="shared" si="9"/>
        <v>NACE C - 28.91 Manufacture of machinery for metallurgy</v>
      </c>
      <c r="K376" t="s">
        <v>2700</v>
      </c>
    </row>
    <row r="377" spans="1:11" x14ac:dyDescent="0.25">
      <c r="A377" s="235" t="s">
        <v>2701</v>
      </c>
      <c r="B377" t="s">
        <v>2702</v>
      </c>
      <c r="C377" s="234" t="s">
        <v>2703</v>
      </c>
      <c r="D377" s="235" t="str">
        <f t="shared" si="9"/>
        <v>NACE C - 28.92 Manufacture of machinery for mining, quarrying and construction</v>
      </c>
      <c r="K377" t="s">
        <v>2704</v>
      </c>
    </row>
    <row r="378" spans="1:11" x14ac:dyDescent="0.25">
      <c r="A378" s="235" t="s">
        <v>2705</v>
      </c>
      <c r="B378" t="s">
        <v>2706</v>
      </c>
      <c r="C378" s="234" t="s">
        <v>2707</v>
      </c>
      <c r="D378" s="235" t="str">
        <f t="shared" si="9"/>
        <v>NACE C - 28.93 Manufacture of machinery for food, beverage and tobacco processing</v>
      </c>
      <c r="K378" t="s">
        <v>2708</v>
      </c>
    </row>
    <row r="379" spans="1:11" x14ac:dyDescent="0.25">
      <c r="A379" s="235" t="s">
        <v>2709</v>
      </c>
      <c r="B379" t="s">
        <v>2710</v>
      </c>
      <c r="C379" s="231" t="s">
        <v>2711</v>
      </c>
      <c r="D379" s="235" t="str">
        <f t="shared" si="9"/>
        <v>NACE C - 28.94 Manufacture of machinery for textile, apparel and leather production</v>
      </c>
      <c r="K379" t="s">
        <v>2712</v>
      </c>
    </row>
    <row r="380" spans="1:11" x14ac:dyDescent="0.25">
      <c r="A380" s="235" t="s">
        <v>2713</v>
      </c>
      <c r="B380" t="s">
        <v>2714</v>
      </c>
      <c r="C380" s="234" t="s">
        <v>2715</v>
      </c>
      <c r="D380" s="235" t="str">
        <f t="shared" si="9"/>
        <v>NACE C - 28.95 Manufacture of machinery for paper and paperboard production</v>
      </c>
      <c r="K380" t="s">
        <v>2716</v>
      </c>
    </row>
    <row r="381" spans="1:11" x14ac:dyDescent="0.25">
      <c r="A381" s="235" t="s">
        <v>2717</v>
      </c>
      <c r="B381" t="s">
        <v>2718</v>
      </c>
      <c r="C381" s="234" t="s">
        <v>2719</v>
      </c>
      <c r="D381" s="235" t="str">
        <f t="shared" si="9"/>
        <v>NACE C - 28.96 Manufacture of plastics and rubber machinery</v>
      </c>
      <c r="K381" t="s">
        <v>2720</v>
      </c>
    </row>
    <row r="382" spans="1:11" x14ac:dyDescent="0.25">
      <c r="A382" s="235" t="s">
        <v>2721</v>
      </c>
      <c r="B382" t="s">
        <v>2722</v>
      </c>
      <c r="C382" s="234" t="s">
        <v>2723</v>
      </c>
      <c r="D382" s="235" t="str">
        <f t="shared" si="9"/>
        <v>NACE C - 28.97 Manufacture of additive manufacturing machinery</v>
      </c>
      <c r="K382" t="s">
        <v>2724</v>
      </c>
    </row>
    <row r="383" spans="1:11" x14ac:dyDescent="0.25">
      <c r="A383" s="235" t="s">
        <v>2725</v>
      </c>
      <c r="B383" t="s">
        <v>2726</v>
      </c>
      <c r="C383" s="234" t="s">
        <v>2727</v>
      </c>
      <c r="D383" s="235" t="str">
        <f t="shared" si="9"/>
        <v>NACE C - 28.99 Manufacture of other special-purpose machinery n.e.c.</v>
      </c>
      <c r="K383" t="s">
        <v>2728</v>
      </c>
    </row>
    <row r="384" spans="1:11" x14ac:dyDescent="0.25">
      <c r="A384" s="231" t="s">
        <v>2729</v>
      </c>
      <c r="B384" t="s">
        <v>2730</v>
      </c>
      <c r="C384" s="231" t="s">
        <v>2731</v>
      </c>
      <c r="D384" s="231" t="str">
        <f t="shared" si="9"/>
        <v>NACE C - 29 Manufacture of motor vehicles, trailers and semi-trailers</v>
      </c>
      <c r="K384" t="s">
        <v>2732</v>
      </c>
    </row>
    <row r="385" spans="1:11" x14ac:dyDescent="0.25">
      <c r="A385" s="234" t="s">
        <v>2733</v>
      </c>
      <c r="B385" t="s">
        <v>2734</v>
      </c>
      <c r="C385" s="234" t="s">
        <v>2735</v>
      </c>
      <c r="D385" s="234" t="str">
        <f t="shared" si="9"/>
        <v>NACE C - 29.1 Manufacture of motor vehicles</v>
      </c>
      <c r="K385" t="s">
        <v>2736</v>
      </c>
    </row>
    <row r="386" spans="1:11" x14ac:dyDescent="0.25">
      <c r="A386" s="235" t="s">
        <v>2737</v>
      </c>
      <c r="B386" t="s">
        <v>2738</v>
      </c>
      <c r="C386" s="234" t="s">
        <v>2739</v>
      </c>
      <c r="D386" s="235" t="str">
        <f t="shared" ref="D386:D449" si="10">_xlfn.CONCAT("NACE ", A386)</f>
        <v>NACE C - 29.10 Manufacture of motor vehicles</v>
      </c>
      <c r="K386" t="s">
        <v>2740</v>
      </c>
    </row>
    <row r="387" spans="1:11" x14ac:dyDescent="0.25">
      <c r="A387" s="234" t="s">
        <v>2741</v>
      </c>
      <c r="B387" t="s">
        <v>2742</v>
      </c>
      <c r="C387" s="234" t="s">
        <v>2743</v>
      </c>
      <c r="D387" s="234" t="str">
        <f t="shared" si="10"/>
        <v>NACE C - 29.2 Manufacture of bodies and coachwork for motor vehicles; manufacture of trailers and semi-trailers</v>
      </c>
      <c r="K387" t="s">
        <v>2744</v>
      </c>
    </row>
    <row r="388" spans="1:11" x14ac:dyDescent="0.25">
      <c r="A388" s="235" t="s">
        <v>2745</v>
      </c>
      <c r="B388" t="s">
        <v>2746</v>
      </c>
      <c r="C388" s="234" t="s">
        <v>2747</v>
      </c>
      <c r="D388" s="235" t="str">
        <f t="shared" si="10"/>
        <v>NACE C - 29.20 Manufacture of bodies and coachwork for motor vehicles; manufacture of trailers and semi-trailers</v>
      </c>
      <c r="K388" t="s">
        <v>2748</v>
      </c>
    </row>
    <row r="389" spans="1:11" x14ac:dyDescent="0.25">
      <c r="A389" s="234" t="s">
        <v>2749</v>
      </c>
      <c r="B389" t="s">
        <v>2750</v>
      </c>
      <c r="C389" s="234" t="s">
        <v>2751</v>
      </c>
      <c r="D389" s="234" t="str">
        <f t="shared" si="10"/>
        <v>NACE C - 29.3 Manufacture of motor vehicle parts and accessories</v>
      </c>
      <c r="K389" t="s">
        <v>2752</v>
      </c>
    </row>
    <row r="390" spans="1:11" x14ac:dyDescent="0.25">
      <c r="A390" s="235" t="s">
        <v>2753</v>
      </c>
      <c r="B390" t="s">
        <v>2754</v>
      </c>
      <c r="C390" s="232" t="s">
        <v>2755</v>
      </c>
      <c r="D390" s="235" t="str">
        <f t="shared" si="10"/>
        <v>NACE C - 29.31 Manufacture of electrical and electronic equipment for motor vehicles</v>
      </c>
      <c r="K390" t="s">
        <v>2756</v>
      </c>
    </row>
    <row r="391" spans="1:11" x14ac:dyDescent="0.25">
      <c r="A391" s="235" t="s">
        <v>2757</v>
      </c>
      <c r="B391" t="s">
        <v>2758</v>
      </c>
      <c r="C391" s="231" t="s">
        <v>2759</v>
      </c>
      <c r="D391" s="235" t="str">
        <f t="shared" si="10"/>
        <v>NACE C - 29.32 Manufacture of other parts and accessories for motor vehicles</v>
      </c>
      <c r="K391" t="s">
        <v>2760</v>
      </c>
    </row>
    <row r="392" spans="1:11" x14ac:dyDescent="0.25">
      <c r="A392" s="231" t="s">
        <v>2761</v>
      </c>
      <c r="B392" t="s">
        <v>2762</v>
      </c>
      <c r="C392" s="234" t="s">
        <v>2763</v>
      </c>
      <c r="D392" s="231" t="str">
        <f t="shared" si="10"/>
        <v>NACE C - 30 Manufacture of other transport equipment</v>
      </c>
      <c r="K392" t="s">
        <v>2764</v>
      </c>
    </row>
    <row r="393" spans="1:11" x14ac:dyDescent="0.25">
      <c r="A393" s="234" t="s">
        <v>2765</v>
      </c>
      <c r="B393" t="s">
        <v>2766</v>
      </c>
      <c r="C393" s="231" t="s">
        <v>2767</v>
      </c>
      <c r="D393" s="234" t="str">
        <f t="shared" si="10"/>
        <v>NACE C - 30.1 Building of ships and boats</v>
      </c>
      <c r="K393" t="s">
        <v>2768</v>
      </c>
    </row>
    <row r="394" spans="1:11" x14ac:dyDescent="0.25">
      <c r="A394" s="235" t="s">
        <v>2769</v>
      </c>
      <c r="B394" t="s">
        <v>2770</v>
      </c>
      <c r="C394" s="234" t="s">
        <v>2771</v>
      </c>
      <c r="D394" s="235" t="str">
        <f t="shared" si="10"/>
        <v>NACE C - 30.11 Building of civilian ships and floating structures</v>
      </c>
      <c r="K394" t="s">
        <v>2772</v>
      </c>
    </row>
    <row r="395" spans="1:11" x14ac:dyDescent="0.25">
      <c r="A395" s="235" t="s">
        <v>2773</v>
      </c>
      <c r="B395" t="s">
        <v>2774</v>
      </c>
      <c r="C395" s="234" t="s">
        <v>2775</v>
      </c>
      <c r="D395" s="235" t="str">
        <f t="shared" si="10"/>
        <v>NACE C - 30.12 Building of pleasure and sporting boats</v>
      </c>
      <c r="K395" t="s">
        <v>2776</v>
      </c>
    </row>
    <row r="396" spans="1:11" x14ac:dyDescent="0.25">
      <c r="A396" s="235" t="s">
        <v>2777</v>
      </c>
      <c r="B396" t="s">
        <v>2778</v>
      </c>
      <c r="C396" s="232" t="s">
        <v>2779</v>
      </c>
      <c r="D396" s="235" t="str">
        <f t="shared" si="10"/>
        <v>NACE C - 30.13 Building of military ships and vessels</v>
      </c>
      <c r="K396" t="s">
        <v>2780</v>
      </c>
    </row>
    <row r="397" spans="1:11" x14ac:dyDescent="0.25">
      <c r="A397" s="234" t="s">
        <v>2781</v>
      </c>
      <c r="B397" t="s">
        <v>2782</v>
      </c>
      <c r="C397" s="231" t="s">
        <v>2783</v>
      </c>
      <c r="D397" s="234" t="str">
        <f t="shared" si="10"/>
        <v>NACE C - 30.2 Manufacture of railway locomotives and rolling stock</v>
      </c>
      <c r="K397" t="s">
        <v>2784</v>
      </c>
    </row>
    <row r="398" spans="1:11" x14ac:dyDescent="0.25">
      <c r="A398" s="235" t="s">
        <v>2785</v>
      </c>
      <c r="B398" t="s">
        <v>2786</v>
      </c>
      <c r="C398" s="234" t="s">
        <v>2787</v>
      </c>
      <c r="D398" s="235" t="str">
        <f t="shared" si="10"/>
        <v>NACE C - 30.20 Manufacture of railway locomotives and rolling stock</v>
      </c>
      <c r="K398" t="s">
        <v>2788</v>
      </c>
    </row>
    <row r="399" spans="1:11" x14ac:dyDescent="0.25">
      <c r="A399" s="234" t="s">
        <v>2789</v>
      </c>
      <c r="B399" t="s">
        <v>2790</v>
      </c>
      <c r="C399" s="232" t="s">
        <v>2791</v>
      </c>
      <c r="D399" s="234" t="str">
        <f t="shared" si="10"/>
        <v>NACE C - 30.3 Manufacture of air and spacecraft and related machinery</v>
      </c>
      <c r="K399" t="s">
        <v>2792</v>
      </c>
    </row>
    <row r="400" spans="1:11" x14ac:dyDescent="0.25">
      <c r="A400" s="235" t="s">
        <v>2793</v>
      </c>
      <c r="B400" t="s">
        <v>2794</v>
      </c>
      <c r="D400" s="235" t="str">
        <f t="shared" si="10"/>
        <v>NACE C - 30.31 Manufacture of civilian air and spacecraft and related machinery</v>
      </c>
      <c r="K400" t="s">
        <v>2795</v>
      </c>
    </row>
    <row r="401" spans="1:11" x14ac:dyDescent="0.25">
      <c r="A401" s="235" t="s">
        <v>2796</v>
      </c>
      <c r="B401" t="s">
        <v>2797</v>
      </c>
      <c r="C401" s="235"/>
      <c r="D401" s="235" t="str">
        <f t="shared" si="10"/>
        <v>NACE C - 30.32 Manufacture of military air and spacecraft and related machinery</v>
      </c>
      <c r="K401" t="s">
        <v>2798</v>
      </c>
    </row>
    <row r="402" spans="1:11" x14ac:dyDescent="0.25">
      <c r="A402" s="234" t="s">
        <v>2799</v>
      </c>
      <c r="B402" t="s">
        <v>2800</v>
      </c>
      <c r="C402" s="235"/>
      <c r="D402" s="234" t="str">
        <f t="shared" si="10"/>
        <v>NACE C - 30.4 Manufacture of military fighting vehicles</v>
      </c>
      <c r="K402" t="s">
        <v>2801</v>
      </c>
    </row>
    <row r="403" spans="1:11" x14ac:dyDescent="0.25">
      <c r="A403" s="235" t="s">
        <v>2802</v>
      </c>
      <c r="B403" t="s">
        <v>2803</v>
      </c>
      <c r="C403" s="235"/>
      <c r="D403" s="235" t="str">
        <f t="shared" si="10"/>
        <v>NACE C - 30.40 Manufacture of military fighting vehicles</v>
      </c>
      <c r="K403" t="s">
        <v>2804</v>
      </c>
    </row>
    <row r="404" spans="1:11" x14ac:dyDescent="0.25">
      <c r="A404" s="234" t="s">
        <v>2805</v>
      </c>
      <c r="B404" t="s">
        <v>2806</v>
      </c>
      <c r="C404" s="235"/>
      <c r="D404" s="234" t="str">
        <f t="shared" si="10"/>
        <v>NACE C - 30.9 Manufacture of transport equipment n.e.c.</v>
      </c>
      <c r="K404" t="s">
        <v>2807</v>
      </c>
    </row>
    <row r="405" spans="1:11" x14ac:dyDescent="0.25">
      <c r="A405" s="235" t="s">
        <v>2808</v>
      </c>
      <c r="B405" t="s">
        <v>2809</v>
      </c>
      <c r="C405" s="235"/>
      <c r="D405" s="235" t="str">
        <f t="shared" si="10"/>
        <v>NACE C - 30.91 Manufacture of motorcycles</v>
      </c>
      <c r="K405" t="s">
        <v>2810</v>
      </c>
    </row>
    <row r="406" spans="1:11" x14ac:dyDescent="0.25">
      <c r="A406" s="235" t="s">
        <v>2811</v>
      </c>
      <c r="B406" t="s">
        <v>2812</v>
      </c>
      <c r="C406" s="235"/>
      <c r="D406" s="235" t="str">
        <f t="shared" si="10"/>
        <v>NACE C - 30.92 Manufacture of bicycles and invalid carriages</v>
      </c>
      <c r="K406" t="s">
        <v>2813</v>
      </c>
    </row>
    <row r="407" spans="1:11" x14ac:dyDescent="0.25">
      <c r="A407" s="235" t="s">
        <v>2814</v>
      </c>
      <c r="B407" t="s">
        <v>2815</v>
      </c>
      <c r="C407" s="235"/>
      <c r="D407" s="235" t="str">
        <f t="shared" si="10"/>
        <v>NACE C - 30.99 Manufacture of other transport equipment n.e.c.</v>
      </c>
      <c r="K407" t="s">
        <v>2816</v>
      </c>
    </row>
    <row r="408" spans="1:11" x14ac:dyDescent="0.25">
      <c r="A408" s="231" t="s">
        <v>2817</v>
      </c>
      <c r="B408" t="s">
        <v>2818</v>
      </c>
      <c r="C408" s="235"/>
      <c r="D408" s="231" t="str">
        <f t="shared" si="10"/>
        <v>NACE C - 31 Manufacture of furniture</v>
      </c>
      <c r="K408" t="s">
        <v>2819</v>
      </c>
    </row>
    <row r="409" spans="1:11" x14ac:dyDescent="0.25">
      <c r="A409" s="234" t="s">
        <v>2820</v>
      </c>
      <c r="B409" t="s">
        <v>2821</v>
      </c>
      <c r="C409" s="235"/>
      <c r="D409" s="234" t="str">
        <f t="shared" si="10"/>
        <v>NACE C - 31.0 Manufacture of furniture</v>
      </c>
      <c r="K409" t="s">
        <v>2822</v>
      </c>
    </row>
    <row r="410" spans="1:11" x14ac:dyDescent="0.25">
      <c r="A410" s="235" t="s">
        <v>2823</v>
      </c>
      <c r="B410" t="s">
        <v>2824</v>
      </c>
      <c r="C410" s="235"/>
      <c r="D410" s="235" t="str">
        <f t="shared" si="10"/>
        <v>NACE C - 31.00 Manufacture of furniture</v>
      </c>
      <c r="K410" t="s">
        <v>2825</v>
      </c>
    </row>
    <row r="411" spans="1:11" x14ac:dyDescent="0.25">
      <c r="A411" s="231" t="s">
        <v>2826</v>
      </c>
      <c r="B411" t="s">
        <v>2827</v>
      </c>
      <c r="C411" s="235"/>
      <c r="D411" s="231" t="str">
        <f t="shared" si="10"/>
        <v>NACE C - 32 Other manufacturing</v>
      </c>
      <c r="K411" t="s">
        <v>2828</v>
      </c>
    </row>
    <row r="412" spans="1:11" x14ac:dyDescent="0.25">
      <c r="A412" s="234" t="s">
        <v>2829</v>
      </c>
      <c r="B412" t="s">
        <v>2830</v>
      </c>
      <c r="C412" s="235"/>
      <c r="D412" s="234" t="str">
        <f t="shared" si="10"/>
        <v>NACE C - 32.1 Manufacture of jewellery, bijouterie and related articles</v>
      </c>
      <c r="K412" t="s">
        <v>2831</v>
      </c>
    </row>
    <row r="413" spans="1:11" x14ac:dyDescent="0.25">
      <c r="A413" s="235" t="s">
        <v>2832</v>
      </c>
      <c r="B413" t="s">
        <v>2833</v>
      </c>
      <c r="C413" s="235"/>
      <c r="D413" s="235" t="str">
        <f t="shared" si="10"/>
        <v>NACE C - 32.11 Striking of coins</v>
      </c>
      <c r="K413" t="s">
        <v>2834</v>
      </c>
    </row>
    <row r="414" spans="1:11" x14ac:dyDescent="0.25">
      <c r="A414" s="235" t="s">
        <v>2835</v>
      </c>
      <c r="B414" t="s">
        <v>2836</v>
      </c>
      <c r="C414" s="235"/>
      <c r="D414" s="235" t="str">
        <f t="shared" si="10"/>
        <v>NACE C - 32.12 Manufacture of jewellery and related articles</v>
      </c>
      <c r="K414" t="s">
        <v>2837</v>
      </c>
    </row>
    <row r="415" spans="1:11" x14ac:dyDescent="0.25">
      <c r="A415" s="235" t="s">
        <v>2838</v>
      </c>
      <c r="B415" t="s">
        <v>2839</v>
      </c>
      <c r="C415" s="235"/>
      <c r="D415" s="235" t="str">
        <f t="shared" si="10"/>
        <v>NACE C - 32.13 Manufacture of imitation jewellery and related articles</v>
      </c>
      <c r="K415" t="s">
        <v>2840</v>
      </c>
    </row>
    <row r="416" spans="1:11" x14ac:dyDescent="0.25">
      <c r="A416" s="234" t="s">
        <v>2841</v>
      </c>
      <c r="B416" t="s">
        <v>2842</v>
      </c>
      <c r="C416" s="235"/>
      <c r="D416" s="234" t="str">
        <f t="shared" si="10"/>
        <v>NACE C - 32.2 Manufacture of musical instruments</v>
      </c>
      <c r="K416" t="s">
        <v>2843</v>
      </c>
    </row>
    <row r="417" spans="1:11" x14ac:dyDescent="0.25">
      <c r="A417" s="235" t="s">
        <v>2844</v>
      </c>
      <c r="B417" t="s">
        <v>2845</v>
      </c>
      <c r="C417" s="235"/>
      <c r="D417" s="235" t="str">
        <f t="shared" si="10"/>
        <v>NACE C - 32.20 Manufacture of musical instruments</v>
      </c>
      <c r="K417" t="s">
        <v>2846</v>
      </c>
    </row>
    <row r="418" spans="1:11" x14ac:dyDescent="0.25">
      <c r="A418" s="234" t="s">
        <v>2847</v>
      </c>
      <c r="B418" t="s">
        <v>2848</v>
      </c>
      <c r="C418" s="235"/>
      <c r="D418" s="234" t="str">
        <f t="shared" si="10"/>
        <v>NACE C - 32.3 Manufacture of sports goods</v>
      </c>
      <c r="K418" t="s">
        <v>2849</v>
      </c>
    </row>
    <row r="419" spans="1:11" x14ac:dyDescent="0.25">
      <c r="A419" s="235" t="s">
        <v>2850</v>
      </c>
      <c r="B419" t="s">
        <v>2851</v>
      </c>
      <c r="C419" s="235"/>
      <c r="D419" s="235" t="str">
        <f t="shared" si="10"/>
        <v>NACE C - 32.30 Manufacture of sports goods</v>
      </c>
      <c r="K419" t="s">
        <v>2852</v>
      </c>
    </row>
    <row r="420" spans="1:11" x14ac:dyDescent="0.25">
      <c r="A420" s="234" t="s">
        <v>2853</v>
      </c>
      <c r="B420" t="s">
        <v>2854</v>
      </c>
      <c r="C420" s="235"/>
      <c r="D420" s="234" t="str">
        <f t="shared" si="10"/>
        <v>NACE C - 32.4 Manufacture of games and toys</v>
      </c>
      <c r="K420" t="s">
        <v>2855</v>
      </c>
    </row>
    <row r="421" spans="1:11" x14ac:dyDescent="0.25">
      <c r="A421" s="235" t="s">
        <v>2856</v>
      </c>
      <c r="B421" t="s">
        <v>2857</v>
      </c>
      <c r="C421" s="235"/>
      <c r="D421" s="235" t="str">
        <f t="shared" si="10"/>
        <v>NACE C - 32.40 Manufacture of games and toys</v>
      </c>
      <c r="K421" t="s">
        <v>2858</v>
      </c>
    </row>
    <row r="422" spans="1:11" x14ac:dyDescent="0.25">
      <c r="A422" s="234" t="s">
        <v>2859</v>
      </c>
      <c r="B422" t="s">
        <v>2860</v>
      </c>
      <c r="C422" s="235"/>
      <c r="D422" s="234" t="str">
        <f t="shared" si="10"/>
        <v>NACE C - 32.5 Manufacture of medical and dental instruments and supplies</v>
      </c>
      <c r="K422" t="s">
        <v>2861</v>
      </c>
    </row>
    <row r="423" spans="1:11" x14ac:dyDescent="0.25">
      <c r="A423" s="235" t="s">
        <v>2862</v>
      </c>
      <c r="B423" t="s">
        <v>2863</v>
      </c>
      <c r="C423" s="235"/>
      <c r="D423" s="235" t="str">
        <f t="shared" si="10"/>
        <v>NACE C - 32.50 Manufacture of medical and dental instruments and supplies</v>
      </c>
      <c r="K423" t="s">
        <v>2864</v>
      </c>
    </row>
    <row r="424" spans="1:11" x14ac:dyDescent="0.25">
      <c r="A424" s="234" t="s">
        <v>2865</v>
      </c>
      <c r="B424" t="s">
        <v>2866</v>
      </c>
      <c r="C424" s="235"/>
      <c r="D424" s="234" t="str">
        <f t="shared" si="10"/>
        <v>NACE C - 32.9 Manufacturing n.e.c.</v>
      </c>
      <c r="K424" t="s">
        <v>2867</v>
      </c>
    </row>
    <row r="425" spans="1:11" x14ac:dyDescent="0.25">
      <c r="A425" s="235" t="s">
        <v>2868</v>
      </c>
      <c r="B425" t="s">
        <v>2869</v>
      </c>
      <c r="C425" s="235"/>
      <c r="D425" s="235" t="str">
        <f t="shared" si="10"/>
        <v>NACE C - 32.91 Manufacture of brooms and brushes</v>
      </c>
      <c r="K425" t="s">
        <v>2870</v>
      </c>
    </row>
    <row r="426" spans="1:11" x14ac:dyDescent="0.25">
      <c r="A426" s="235" t="s">
        <v>2871</v>
      </c>
      <c r="B426" t="s">
        <v>2872</v>
      </c>
      <c r="C426" s="235"/>
      <c r="D426" s="235" t="str">
        <f t="shared" si="10"/>
        <v>NACE C - 32.99 Other manufacturing n.e.c.</v>
      </c>
      <c r="K426" t="s">
        <v>2873</v>
      </c>
    </row>
    <row r="427" spans="1:11" x14ac:dyDescent="0.25">
      <c r="A427" s="231" t="s">
        <v>2874</v>
      </c>
      <c r="B427" t="s">
        <v>2875</v>
      </c>
      <c r="C427" s="235"/>
      <c r="D427" s="231" t="str">
        <f t="shared" si="10"/>
        <v>NACE C - 33 Repair, maintenance and installation of machinery and equipment</v>
      </c>
      <c r="K427" t="s">
        <v>2876</v>
      </c>
    </row>
    <row r="428" spans="1:11" x14ac:dyDescent="0.25">
      <c r="A428" s="234" t="s">
        <v>2877</v>
      </c>
      <c r="B428" t="s">
        <v>2878</v>
      </c>
      <c r="C428" s="235"/>
      <c r="D428" s="234" t="str">
        <f t="shared" si="10"/>
        <v>NACE C - 33.1 Repair and maintenance of fabricated metal products, machinery and equipment</v>
      </c>
      <c r="K428" t="s">
        <v>2879</v>
      </c>
    </row>
    <row r="429" spans="1:11" x14ac:dyDescent="0.25">
      <c r="A429" s="235" t="s">
        <v>2880</v>
      </c>
      <c r="B429" t="s">
        <v>2881</v>
      </c>
      <c r="C429" s="235"/>
      <c r="D429" s="235" t="str">
        <f t="shared" si="10"/>
        <v>NACE C - 33.11 Repair and maintenance of fabricated metal products</v>
      </c>
      <c r="K429" t="s">
        <v>2882</v>
      </c>
    </row>
    <row r="430" spans="1:11" x14ac:dyDescent="0.25">
      <c r="A430" s="235" t="s">
        <v>2883</v>
      </c>
      <c r="B430" t="s">
        <v>2884</v>
      </c>
      <c r="C430" s="235"/>
      <c r="D430" s="235" t="str">
        <f t="shared" si="10"/>
        <v>NACE C - 33.12 Repair and maintenance of machinery</v>
      </c>
      <c r="K430" t="s">
        <v>2885</v>
      </c>
    </row>
    <row r="431" spans="1:11" x14ac:dyDescent="0.25">
      <c r="A431" s="235" t="s">
        <v>2886</v>
      </c>
      <c r="B431" t="s">
        <v>2887</v>
      </c>
      <c r="C431" s="235"/>
      <c r="D431" s="235" t="str">
        <f t="shared" si="10"/>
        <v>NACE C - 33.13 Repair and maintenance of electronic and optical equipment</v>
      </c>
      <c r="K431" t="s">
        <v>2888</v>
      </c>
    </row>
    <row r="432" spans="1:11" x14ac:dyDescent="0.25">
      <c r="A432" s="235" t="s">
        <v>2889</v>
      </c>
      <c r="B432" t="s">
        <v>2890</v>
      </c>
      <c r="C432" s="235"/>
      <c r="D432" s="235" t="str">
        <f t="shared" si="10"/>
        <v>NACE C - 33.14 Repair and maintenance of electrical equipment</v>
      </c>
      <c r="K432" t="s">
        <v>2891</v>
      </c>
    </row>
    <row r="433" spans="1:11" x14ac:dyDescent="0.25">
      <c r="A433" s="235" t="s">
        <v>2892</v>
      </c>
      <c r="B433" t="s">
        <v>2893</v>
      </c>
      <c r="C433" s="235"/>
      <c r="D433" s="235" t="str">
        <f t="shared" si="10"/>
        <v>NACE C - 33.15 Repair and maintenance of civilian ships and boats</v>
      </c>
      <c r="K433" t="s">
        <v>2894</v>
      </c>
    </row>
    <row r="434" spans="1:11" x14ac:dyDescent="0.25">
      <c r="A434" s="235" t="s">
        <v>2895</v>
      </c>
      <c r="B434" t="s">
        <v>2896</v>
      </c>
      <c r="C434" s="235"/>
      <c r="D434" s="235" t="str">
        <f t="shared" si="10"/>
        <v>NACE C - 33.16 Repair and maintenance of civilian air and spacecraft</v>
      </c>
      <c r="K434" t="s">
        <v>2897</v>
      </c>
    </row>
    <row r="435" spans="1:11" x14ac:dyDescent="0.25">
      <c r="A435" s="235" t="s">
        <v>2898</v>
      </c>
      <c r="B435" t="s">
        <v>2899</v>
      </c>
      <c r="C435" s="235"/>
      <c r="D435" s="235" t="str">
        <f t="shared" si="10"/>
        <v>NACE C - 33.17 Repair and maintenance of other civilian transport equipment</v>
      </c>
      <c r="K435" t="s">
        <v>2900</v>
      </c>
    </row>
    <row r="436" spans="1:11" x14ac:dyDescent="0.25">
      <c r="A436" s="235" t="s">
        <v>2901</v>
      </c>
      <c r="B436" t="s">
        <v>2902</v>
      </c>
      <c r="C436" s="235"/>
      <c r="D436" s="235" t="str">
        <f t="shared" si="10"/>
        <v>NACE C - 33.18 Repair and maintenance of military fighting vehicles, ships, boats, air and spacecraft</v>
      </c>
      <c r="K436" t="s">
        <v>2903</v>
      </c>
    </row>
    <row r="437" spans="1:11" x14ac:dyDescent="0.25">
      <c r="A437" s="235" t="s">
        <v>2904</v>
      </c>
      <c r="B437" t="s">
        <v>2905</v>
      </c>
      <c r="C437" s="235"/>
      <c r="D437" s="235" t="str">
        <f t="shared" si="10"/>
        <v>NACE C - 33.19 Repair and maintenance of other equipment</v>
      </c>
      <c r="K437" t="s">
        <v>2906</v>
      </c>
    </row>
    <row r="438" spans="1:11" x14ac:dyDescent="0.25">
      <c r="A438" s="234" t="s">
        <v>2907</v>
      </c>
      <c r="B438" t="s">
        <v>2908</v>
      </c>
      <c r="C438" s="235"/>
      <c r="D438" s="234" t="str">
        <f t="shared" si="10"/>
        <v>NACE C - 33.2 Installation of industrial machinery and equipment</v>
      </c>
      <c r="K438" t="s">
        <v>2909</v>
      </c>
    </row>
    <row r="439" spans="1:11" x14ac:dyDescent="0.25">
      <c r="A439" s="235" t="s">
        <v>2910</v>
      </c>
      <c r="B439" t="s">
        <v>2911</v>
      </c>
      <c r="C439" s="235"/>
      <c r="D439" s="235" t="str">
        <f t="shared" si="10"/>
        <v>NACE C - 33.20 Installation of industrial machinery and equipment</v>
      </c>
      <c r="K439" t="s">
        <v>2912</v>
      </c>
    </row>
    <row r="440" spans="1:11" x14ac:dyDescent="0.25">
      <c r="A440" s="232" t="s">
        <v>2913</v>
      </c>
      <c r="B440" t="s">
        <v>2914</v>
      </c>
      <c r="C440" s="235"/>
      <c r="D440" s="232" t="str">
        <f t="shared" si="10"/>
        <v>NACE D - ELECTRICITY, GAS, STEAM AND AIR CONDITIONING SUPPLY</v>
      </c>
      <c r="K440" t="s">
        <v>2915</v>
      </c>
    </row>
    <row r="441" spans="1:11" x14ac:dyDescent="0.25">
      <c r="A441" s="231" t="s">
        <v>2916</v>
      </c>
      <c r="B441" t="s">
        <v>2917</v>
      </c>
      <c r="C441" s="235"/>
      <c r="D441" s="231" t="str">
        <f t="shared" si="10"/>
        <v>NACE D - 35 Electricity, gas, steam and air conditioning supply</v>
      </c>
      <c r="K441" t="s">
        <v>2918</v>
      </c>
    </row>
    <row r="442" spans="1:11" x14ac:dyDescent="0.25">
      <c r="A442" s="234" t="s">
        <v>2919</v>
      </c>
      <c r="B442" t="s">
        <v>2920</v>
      </c>
      <c r="C442" s="235"/>
      <c r="D442" s="234" t="str">
        <f t="shared" si="10"/>
        <v>NACE D - 35.1 Electric power generation, transmission and distribution</v>
      </c>
      <c r="K442" t="s">
        <v>2921</v>
      </c>
    </row>
    <row r="443" spans="1:11" x14ac:dyDescent="0.25">
      <c r="A443" s="235" t="s">
        <v>2922</v>
      </c>
      <c r="B443" t="s">
        <v>2923</v>
      </c>
      <c r="C443" s="235"/>
      <c r="D443" s="235" t="str">
        <f t="shared" si="10"/>
        <v>NACE D - 35.11 Production of electricity from non-renewable sources</v>
      </c>
      <c r="K443" t="s">
        <v>2924</v>
      </c>
    </row>
    <row r="444" spans="1:11" x14ac:dyDescent="0.25">
      <c r="A444" s="235" t="s">
        <v>2925</v>
      </c>
      <c r="B444" t="s">
        <v>2926</v>
      </c>
      <c r="C444" s="235"/>
      <c r="D444" s="235" t="str">
        <f t="shared" si="10"/>
        <v>NACE D - 35.12 Production of electricity from renewable sources</v>
      </c>
      <c r="K444" t="s">
        <v>2927</v>
      </c>
    </row>
    <row r="445" spans="1:11" x14ac:dyDescent="0.25">
      <c r="A445" s="235" t="s">
        <v>2928</v>
      </c>
      <c r="B445" t="s">
        <v>2929</v>
      </c>
      <c r="C445" s="235"/>
      <c r="D445" s="235" t="str">
        <f t="shared" si="10"/>
        <v>NACE D - 35.13 Transmission of electricity</v>
      </c>
      <c r="K445" t="s">
        <v>2930</v>
      </c>
    </row>
    <row r="446" spans="1:11" x14ac:dyDescent="0.25">
      <c r="A446" s="235" t="s">
        <v>2931</v>
      </c>
      <c r="B446" t="s">
        <v>2932</v>
      </c>
      <c r="C446" s="235"/>
      <c r="D446" s="235" t="str">
        <f t="shared" si="10"/>
        <v>NACE D - 35.14 Distribution of electricity</v>
      </c>
      <c r="K446" t="s">
        <v>2933</v>
      </c>
    </row>
    <row r="447" spans="1:11" x14ac:dyDescent="0.25">
      <c r="A447" s="235" t="s">
        <v>2934</v>
      </c>
      <c r="B447" t="s">
        <v>2935</v>
      </c>
      <c r="C447" s="235"/>
      <c r="D447" s="235" t="str">
        <f t="shared" si="10"/>
        <v>NACE D - 35.15 Trade of electricity</v>
      </c>
      <c r="K447" t="s">
        <v>2936</v>
      </c>
    </row>
    <row r="448" spans="1:11" x14ac:dyDescent="0.25">
      <c r="A448" s="235" t="s">
        <v>2937</v>
      </c>
      <c r="B448" t="s">
        <v>2938</v>
      </c>
      <c r="C448" s="235"/>
      <c r="D448" s="235" t="str">
        <f t="shared" si="10"/>
        <v>NACE D - 35.16 Storage of electricity</v>
      </c>
      <c r="K448" t="s">
        <v>2939</v>
      </c>
    </row>
    <row r="449" spans="1:11" x14ac:dyDescent="0.25">
      <c r="A449" s="234" t="s">
        <v>2940</v>
      </c>
      <c r="B449" t="s">
        <v>2941</v>
      </c>
      <c r="C449" s="235"/>
      <c r="D449" s="234" t="str">
        <f t="shared" si="10"/>
        <v>NACE D - 35.2 Manufacture of gas, and distribution of gaseous fuels through mains</v>
      </c>
      <c r="K449" t="s">
        <v>2942</v>
      </c>
    </row>
    <row r="450" spans="1:11" x14ac:dyDescent="0.25">
      <c r="A450" s="235" t="s">
        <v>2943</v>
      </c>
      <c r="B450" t="s">
        <v>2944</v>
      </c>
      <c r="C450" s="235"/>
      <c r="D450" s="235" t="str">
        <f t="shared" ref="D450:D513" si="11">_xlfn.CONCAT("NACE ", A450)</f>
        <v>NACE D - 35.21 Manufacture of gas</v>
      </c>
      <c r="K450" t="s">
        <v>2945</v>
      </c>
    </row>
    <row r="451" spans="1:11" x14ac:dyDescent="0.25">
      <c r="A451" s="235" t="s">
        <v>2946</v>
      </c>
      <c r="B451" t="s">
        <v>2947</v>
      </c>
      <c r="C451" s="235"/>
      <c r="D451" s="235" t="str">
        <f t="shared" si="11"/>
        <v>NACE D - 35.22 Distribution of gaseous fuels through mains</v>
      </c>
      <c r="K451" t="s">
        <v>2948</v>
      </c>
    </row>
    <row r="452" spans="1:11" x14ac:dyDescent="0.25">
      <c r="A452" s="235" t="s">
        <v>2949</v>
      </c>
      <c r="B452" t="s">
        <v>2950</v>
      </c>
      <c r="C452" s="235"/>
      <c r="D452" s="235" t="str">
        <f t="shared" si="11"/>
        <v>NACE D - 35.23 Trade of gas through mains</v>
      </c>
      <c r="K452" t="s">
        <v>2951</v>
      </c>
    </row>
    <row r="453" spans="1:11" x14ac:dyDescent="0.25">
      <c r="A453" s="235" t="s">
        <v>2952</v>
      </c>
      <c r="B453" t="s">
        <v>2953</v>
      </c>
      <c r="C453" s="235"/>
      <c r="D453" s="235" t="str">
        <f t="shared" si="11"/>
        <v>NACE D - 35.24 Storage of gas as part of network supply services</v>
      </c>
      <c r="K453" t="s">
        <v>2954</v>
      </c>
    </row>
    <row r="454" spans="1:11" x14ac:dyDescent="0.25">
      <c r="A454" s="234" t="s">
        <v>2955</v>
      </c>
      <c r="B454" t="s">
        <v>2956</v>
      </c>
      <c r="C454" s="235"/>
      <c r="D454" s="234" t="str">
        <f t="shared" si="11"/>
        <v>NACE D - 35.3 Steam and air conditioning supply</v>
      </c>
      <c r="K454" t="s">
        <v>2957</v>
      </c>
    </row>
    <row r="455" spans="1:11" x14ac:dyDescent="0.25">
      <c r="A455" s="235" t="s">
        <v>2958</v>
      </c>
      <c r="B455" t="s">
        <v>2959</v>
      </c>
      <c r="C455" s="235"/>
      <c r="D455" s="235" t="str">
        <f t="shared" si="11"/>
        <v>NACE D - 35.30 Steam and air conditioning supply</v>
      </c>
      <c r="K455" t="s">
        <v>2960</v>
      </c>
    </row>
    <row r="456" spans="1:11" x14ac:dyDescent="0.25">
      <c r="A456" s="234" t="s">
        <v>2961</v>
      </c>
      <c r="B456" t="s">
        <v>2962</v>
      </c>
      <c r="C456" s="235"/>
      <c r="D456" s="234" t="str">
        <f t="shared" si="11"/>
        <v>NACE D - 35.4 Activities of brokers and agents for electric power and natural gas</v>
      </c>
      <c r="K456" t="s">
        <v>2963</v>
      </c>
    </row>
    <row r="457" spans="1:11" x14ac:dyDescent="0.25">
      <c r="A457" s="235" t="s">
        <v>2964</v>
      </c>
      <c r="B457" t="s">
        <v>2965</v>
      </c>
      <c r="C457" s="235"/>
      <c r="D457" s="235" t="str">
        <f t="shared" si="11"/>
        <v>NACE D - 35.40 Activities of brokers and agents for electric power and natural gas</v>
      </c>
      <c r="K457" t="s">
        <v>2966</v>
      </c>
    </row>
    <row r="458" spans="1:11" x14ac:dyDescent="0.25">
      <c r="A458" s="232" t="s">
        <v>2967</v>
      </c>
      <c r="B458" t="s">
        <v>2968</v>
      </c>
      <c r="C458" s="235"/>
      <c r="D458" s="232" t="str">
        <f t="shared" si="11"/>
        <v>NACE E - WATER SUPPLY; SEWERAGE, WASTE MANAGEMENT AND REMEDIATION ACTIVITIES</v>
      </c>
      <c r="K458" t="s">
        <v>2969</v>
      </c>
    </row>
    <row r="459" spans="1:11" x14ac:dyDescent="0.25">
      <c r="A459" s="231" t="s">
        <v>2970</v>
      </c>
      <c r="B459" t="s">
        <v>2971</v>
      </c>
      <c r="C459" s="235"/>
      <c r="D459" s="231" t="str">
        <f t="shared" si="11"/>
        <v>NACE E - 36 Water collection, treatment and supply</v>
      </c>
      <c r="K459" t="s">
        <v>2972</v>
      </c>
    </row>
    <row r="460" spans="1:11" x14ac:dyDescent="0.25">
      <c r="A460" s="234" t="s">
        <v>2973</v>
      </c>
      <c r="B460" t="s">
        <v>2974</v>
      </c>
      <c r="C460" s="235"/>
      <c r="D460" s="234" t="str">
        <f t="shared" si="11"/>
        <v>NACE E - 36.0 Water collection, treatment and supply</v>
      </c>
      <c r="K460" t="s">
        <v>2975</v>
      </c>
    </row>
    <row r="461" spans="1:11" x14ac:dyDescent="0.25">
      <c r="A461" s="235" t="s">
        <v>2976</v>
      </c>
      <c r="B461" t="s">
        <v>2977</v>
      </c>
      <c r="C461" s="235"/>
      <c r="D461" s="235" t="str">
        <f t="shared" si="11"/>
        <v>NACE E - 36.00 Water collection, treatment and supply</v>
      </c>
      <c r="K461" t="s">
        <v>2978</v>
      </c>
    </row>
    <row r="462" spans="1:11" x14ac:dyDescent="0.25">
      <c r="A462" s="231" t="s">
        <v>2979</v>
      </c>
      <c r="B462" t="s">
        <v>2980</v>
      </c>
      <c r="C462" s="235"/>
      <c r="D462" s="231" t="str">
        <f t="shared" si="11"/>
        <v>NACE E - 37 Sewerage</v>
      </c>
      <c r="K462" t="s">
        <v>2981</v>
      </c>
    </row>
    <row r="463" spans="1:11" x14ac:dyDescent="0.25">
      <c r="A463" s="234" t="s">
        <v>2982</v>
      </c>
      <c r="B463" t="s">
        <v>2983</v>
      </c>
      <c r="C463" s="235"/>
      <c r="D463" s="234" t="str">
        <f t="shared" si="11"/>
        <v>NACE E - 37.0 Sewerage</v>
      </c>
      <c r="K463" t="s">
        <v>2984</v>
      </c>
    </row>
    <row r="464" spans="1:11" x14ac:dyDescent="0.25">
      <c r="A464" s="235" t="s">
        <v>2985</v>
      </c>
      <c r="B464" t="s">
        <v>2986</v>
      </c>
      <c r="C464" s="235"/>
      <c r="D464" s="235" t="str">
        <f t="shared" si="11"/>
        <v>NACE E - 37.00 Sewerage</v>
      </c>
      <c r="K464" t="s">
        <v>2987</v>
      </c>
    </row>
    <row r="465" spans="1:11" x14ac:dyDescent="0.25">
      <c r="A465" s="231" t="s">
        <v>2988</v>
      </c>
      <c r="B465" t="s">
        <v>2989</v>
      </c>
      <c r="C465" s="235"/>
      <c r="D465" s="231" t="str">
        <f t="shared" si="11"/>
        <v>NACE E - 38 Waste collection, recovery and disposal activities</v>
      </c>
      <c r="K465" t="s">
        <v>2990</v>
      </c>
    </row>
    <row r="466" spans="1:11" x14ac:dyDescent="0.25">
      <c r="A466" s="234" t="s">
        <v>2991</v>
      </c>
      <c r="B466" t="s">
        <v>2992</v>
      </c>
      <c r="C466" s="235"/>
      <c r="D466" s="234" t="str">
        <f t="shared" si="11"/>
        <v>NACE E - 38.1 Waste collection</v>
      </c>
      <c r="K466" t="s">
        <v>2993</v>
      </c>
    </row>
    <row r="467" spans="1:11" x14ac:dyDescent="0.25">
      <c r="A467" s="235" t="s">
        <v>2994</v>
      </c>
      <c r="B467" t="s">
        <v>2995</v>
      </c>
      <c r="C467" s="235"/>
      <c r="D467" s="235" t="str">
        <f t="shared" si="11"/>
        <v>NACE E - 38.11 Collection of non-hazardous waste</v>
      </c>
      <c r="K467" t="s">
        <v>2996</v>
      </c>
    </row>
    <row r="468" spans="1:11" x14ac:dyDescent="0.25">
      <c r="A468" s="235" t="s">
        <v>2997</v>
      </c>
      <c r="B468" t="s">
        <v>2998</v>
      </c>
      <c r="C468" s="235"/>
      <c r="D468" s="235" t="str">
        <f t="shared" si="11"/>
        <v>NACE E - 38.12 Collection of hazardous waste</v>
      </c>
      <c r="K468" t="s">
        <v>2999</v>
      </c>
    </row>
    <row r="469" spans="1:11" x14ac:dyDescent="0.25">
      <c r="A469" s="234" t="s">
        <v>3000</v>
      </c>
      <c r="B469" t="s">
        <v>3001</v>
      </c>
      <c r="C469" s="235"/>
      <c r="D469" s="234" t="str">
        <f t="shared" si="11"/>
        <v>NACE E - 38.2 Waste recovery</v>
      </c>
      <c r="K469" t="s">
        <v>3002</v>
      </c>
    </row>
    <row r="470" spans="1:11" x14ac:dyDescent="0.25">
      <c r="A470" s="235" t="s">
        <v>3003</v>
      </c>
      <c r="B470" t="s">
        <v>3004</v>
      </c>
      <c r="C470" s="235"/>
      <c r="D470" s="235" t="str">
        <f t="shared" si="11"/>
        <v>NACE E - 38.21 Materials recovery</v>
      </c>
      <c r="K470" t="s">
        <v>3005</v>
      </c>
    </row>
    <row r="471" spans="1:11" x14ac:dyDescent="0.25">
      <c r="A471" s="235" t="s">
        <v>3006</v>
      </c>
      <c r="B471" t="s">
        <v>3007</v>
      </c>
      <c r="C471" s="235"/>
      <c r="D471" s="235" t="str">
        <f t="shared" si="11"/>
        <v>NACE E - 38.22 Energy recovery</v>
      </c>
      <c r="K471" t="s">
        <v>3008</v>
      </c>
    </row>
    <row r="472" spans="1:11" x14ac:dyDescent="0.25">
      <c r="A472" s="235" t="s">
        <v>3009</v>
      </c>
      <c r="B472" t="s">
        <v>3010</v>
      </c>
      <c r="C472" s="235"/>
      <c r="D472" s="235" t="str">
        <f t="shared" si="11"/>
        <v>NACE E - 38.23 Other waste recovery</v>
      </c>
      <c r="K472" t="s">
        <v>3011</v>
      </c>
    </row>
    <row r="473" spans="1:11" x14ac:dyDescent="0.25">
      <c r="A473" s="234" t="s">
        <v>3012</v>
      </c>
      <c r="B473" t="s">
        <v>3013</v>
      </c>
      <c r="C473" s="235"/>
      <c r="D473" s="234" t="str">
        <f t="shared" si="11"/>
        <v>NACE E - 38.3 Waste disposal without recovery</v>
      </c>
      <c r="K473" t="s">
        <v>3014</v>
      </c>
    </row>
    <row r="474" spans="1:11" x14ac:dyDescent="0.25">
      <c r="A474" s="235" t="s">
        <v>3015</v>
      </c>
      <c r="B474" t="s">
        <v>3016</v>
      </c>
      <c r="C474" s="235"/>
      <c r="D474" s="235" t="str">
        <f t="shared" si="11"/>
        <v>NACE E - 38.31 Incineration without energy recovery</v>
      </c>
      <c r="K474" t="s">
        <v>3017</v>
      </c>
    </row>
    <row r="475" spans="1:11" x14ac:dyDescent="0.25">
      <c r="A475" s="235" t="s">
        <v>3018</v>
      </c>
      <c r="B475" t="s">
        <v>3019</v>
      </c>
      <c r="C475" s="235"/>
      <c r="D475" s="235" t="str">
        <f t="shared" si="11"/>
        <v>NACE E - 38.32 Landfilling or permanent storage</v>
      </c>
      <c r="K475" t="s">
        <v>3020</v>
      </c>
    </row>
    <row r="476" spans="1:11" x14ac:dyDescent="0.25">
      <c r="A476" s="235" t="s">
        <v>3021</v>
      </c>
      <c r="B476" t="s">
        <v>3022</v>
      </c>
      <c r="C476" s="235"/>
      <c r="D476" s="235" t="str">
        <f t="shared" si="11"/>
        <v>NACE E - 38.33 Other waste disposal</v>
      </c>
      <c r="K476" t="s">
        <v>3023</v>
      </c>
    </row>
    <row r="477" spans="1:11" x14ac:dyDescent="0.25">
      <c r="A477" s="231" t="s">
        <v>3024</v>
      </c>
      <c r="B477" t="s">
        <v>3025</v>
      </c>
      <c r="C477" s="235"/>
      <c r="D477" s="231" t="str">
        <f t="shared" si="11"/>
        <v>NACE E - 39 Remediation activities and other waste management service activities</v>
      </c>
      <c r="K477" t="s">
        <v>3026</v>
      </c>
    </row>
    <row r="478" spans="1:11" x14ac:dyDescent="0.25">
      <c r="A478" s="234" t="s">
        <v>3027</v>
      </c>
      <c r="B478" t="s">
        <v>3028</v>
      </c>
      <c r="C478" s="235"/>
      <c r="D478" s="234" t="str">
        <f t="shared" si="11"/>
        <v>NACE E - 39.0 Remediation activities and other waste management service activities</v>
      </c>
      <c r="K478" t="s">
        <v>3029</v>
      </c>
    </row>
    <row r="479" spans="1:11" x14ac:dyDescent="0.25">
      <c r="A479" s="235" t="s">
        <v>3030</v>
      </c>
      <c r="B479" t="s">
        <v>3031</v>
      </c>
      <c r="C479" s="235"/>
      <c r="D479" s="235" t="str">
        <f t="shared" si="11"/>
        <v>NACE E - 39.00 Remediation activities and other waste management service activities</v>
      </c>
      <c r="K479" t="s">
        <v>3032</v>
      </c>
    </row>
    <row r="480" spans="1:11" x14ac:dyDescent="0.25">
      <c r="A480" s="232" t="s">
        <v>3033</v>
      </c>
      <c r="B480" t="s">
        <v>3034</v>
      </c>
      <c r="C480" s="235"/>
      <c r="D480" s="232" t="str">
        <f t="shared" si="11"/>
        <v>NACE F - CONSTRUCTION</v>
      </c>
      <c r="K480" t="s">
        <v>3035</v>
      </c>
    </row>
    <row r="481" spans="1:11" x14ac:dyDescent="0.25">
      <c r="A481" s="231" t="s">
        <v>3036</v>
      </c>
      <c r="B481" t="s">
        <v>3037</v>
      </c>
      <c r="C481" s="235"/>
      <c r="D481" s="231" t="str">
        <f t="shared" si="11"/>
        <v>NACE F - 41 Construction of residential and non-residential buildings</v>
      </c>
      <c r="K481" t="s">
        <v>3038</v>
      </c>
    </row>
    <row r="482" spans="1:11" x14ac:dyDescent="0.25">
      <c r="A482" s="234" t="s">
        <v>3039</v>
      </c>
      <c r="B482" t="s">
        <v>3040</v>
      </c>
      <c r="C482" s="235"/>
      <c r="D482" s="234" t="str">
        <f t="shared" si="11"/>
        <v>NACE F - 41.0 Construction of residential and non-residential buildings</v>
      </c>
      <c r="K482" t="s">
        <v>3041</v>
      </c>
    </row>
    <row r="483" spans="1:11" x14ac:dyDescent="0.25">
      <c r="A483" s="235" t="s">
        <v>3042</v>
      </c>
      <c r="B483" t="s">
        <v>3043</v>
      </c>
      <c r="C483" s="235"/>
      <c r="D483" s="235" t="str">
        <f t="shared" si="11"/>
        <v>NACE F - 41.00 Construction of residential and non-residential buildings</v>
      </c>
      <c r="K483" t="s">
        <v>3044</v>
      </c>
    </row>
    <row r="484" spans="1:11" x14ac:dyDescent="0.25">
      <c r="A484" s="231" t="s">
        <v>3045</v>
      </c>
      <c r="B484" t="s">
        <v>3046</v>
      </c>
      <c r="C484" s="235"/>
      <c r="D484" s="231" t="str">
        <f t="shared" si="11"/>
        <v>NACE F - 42 Civil engineering</v>
      </c>
      <c r="K484" t="s">
        <v>3047</v>
      </c>
    </row>
    <row r="485" spans="1:11" x14ac:dyDescent="0.25">
      <c r="A485" s="234" t="s">
        <v>3048</v>
      </c>
      <c r="B485" t="s">
        <v>3049</v>
      </c>
      <c r="C485" s="235"/>
      <c r="D485" s="234" t="str">
        <f t="shared" si="11"/>
        <v>NACE F - 42.1 Construction of roads and railways</v>
      </c>
      <c r="K485" t="s">
        <v>3050</v>
      </c>
    </row>
    <row r="486" spans="1:11" x14ac:dyDescent="0.25">
      <c r="A486" s="235" t="s">
        <v>3051</v>
      </c>
      <c r="B486" t="s">
        <v>3052</v>
      </c>
      <c r="C486" s="235"/>
      <c r="D486" s="235" t="str">
        <f t="shared" si="11"/>
        <v>NACE F - 42.11 Construction of roads and motorways</v>
      </c>
      <c r="K486" t="s">
        <v>3053</v>
      </c>
    </row>
    <row r="487" spans="1:11" x14ac:dyDescent="0.25">
      <c r="A487" s="235" t="s">
        <v>3054</v>
      </c>
      <c r="B487" t="s">
        <v>3055</v>
      </c>
      <c r="C487" s="235"/>
      <c r="D487" s="235" t="str">
        <f t="shared" si="11"/>
        <v>NACE F - 42.12 Construction of railways and underground railways</v>
      </c>
      <c r="K487" t="s">
        <v>3056</v>
      </c>
    </row>
    <row r="488" spans="1:11" x14ac:dyDescent="0.25">
      <c r="A488" s="235" t="s">
        <v>3057</v>
      </c>
      <c r="B488" t="s">
        <v>3058</v>
      </c>
      <c r="C488" s="235"/>
      <c r="D488" s="235" t="str">
        <f t="shared" si="11"/>
        <v>NACE F - 42.13 Construction of bridges and tunnels</v>
      </c>
      <c r="K488" t="s">
        <v>3059</v>
      </c>
    </row>
    <row r="489" spans="1:11" x14ac:dyDescent="0.25">
      <c r="A489" s="234" t="s">
        <v>3060</v>
      </c>
      <c r="B489" t="s">
        <v>3061</v>
      </c>
      <c r="C489" s="235"/>
      <c r="D489" s="234" t="str">
        <f t="shared" si="11"/>
        <v>NACE F - 42.2 Construction of utility projects</v>
      </c>
      <c r="K489" t="s">
        <v>3062</v>
      </c>
    </row>
    <row r="490" spans="1:11" x14ac:dyDescent="0.25">
      <c r="A490" s="235" t="s">
        <v>3063</v>
      </c>
      <c r="B490" t="s">
        <v>3064</v>
      </c>
      <c r="C490" s="235"/>
      <c r="D490" s="235" t="str">
        <f t="shared" si="11"/>
        <v>NACE F - 42.21 Construction of utility projects for fluids</v>
      </c>
      <c r="K490" t="s">
        <v>3065</v>
      </c>
    </row>
    <row r="491" spans="1:11" x14ac:dyDescent="0.25">
      <c r="A491" s="235" t="s">
        <v>3066</v>
      </c>
      <c r="B491" t="s">
        <v>3067</v>
      </c>
      <c r="C491" s="235"/>
      <c r="D491" s="235" t="str">
        <f t="shared" si="11"/>
        <v>NACE F - 42.22 Construction of utility projects for electricity and telecommunications</v>
      </c>
      <c r="K491" t="s">
        <v>3068</v>
      </c>
    </row>
    <row r="492" spans="1:11" x14ac:dyDescent="0.25">
      <c r="A492" s="234" t="s">
        <v>3069</v>
      </c>
      <c r="B492" t="s">
        <v>3070</v>
      </c>
      <c r="C492" s="235"/>
      <c r="D492" s="234" t="str">
        <f t="shared" si="11"/>
        <v>NACE F - 42.9 Construction of other civil engineering projects</v>
      </c>
      <c r="K492" t="s">
        <v>3071</v>
      </c>
    </row>
    <row r="493" spans="1:11" x14ac:dyDescent="0.25">
      <c r="A493" s="235" t="s">
        <v>3072</v>
      </c>
      <c r="B493" t="s">
        <v>3073</v>
      </c>
      <c r="C493" s="235"/>
      <c r="D493" s="235" t="str">
        <f t="shared" si="11"/>
        <v>NACE F - 42.91 Construction of water projects</v>
      </c>
      <c r="K493" t="s">
        <v>3074</v>
      </c>
    </row>
    <row r="494" spans="1:11" x14ac:dyDescent="0.25">
      <c r="A494" s="235" t="s">
        <v>3075</v>
      </c>
      <c r="B494" t="s">
        <v>3076</v>
      </c>
      <c r="C494" s="235"/>
      <c r="D494" s="235" t="str">
        <f t="shared" si="11"/>
        <v>NACE F - 42.99 Construction of other civil engineering projects n.e.c.</v>
      </c>
      <c r="K494" t="s">
        <v>3077</v>
      </c>
    </row>
    <row r="495" spans="1:11" x14ac:dyDescent="0.25">
      <c r="A495" s="231" t="s">
        <v>3078</v>
      </c>
      <c r="B495" t="s">
        <v>3079</v>
      </c>
      <c r="C495" s="235"/>
      <c r="D495" s="231" t="str">
        <f t="shared" si="11"/>
        <v>NACE F - 43 Specialised construction activities</v>
      </c>
      <c r="K495" t="s">
        <v>3080</v>
      </c>
    </row>
    <row r="496" spans="1:11" x14ac:dyDescent="0.25">
      <c r="A496" s="234" t="s">
        <v>3081</v>
      </c>
      <c r="B496" t="s">
        <v>3082</v>
      </c>
      <c r="C496" s="235"/>
      <c r="D496" s="234" t="str">
        <f t="shared" si="11"/>
        <v>NACE F - 43.1 Demolition and site preparation</v>
      </c>
      <c r="K496" t="s">
        <v>3083</v>
      </c>
    </row>
    <row r="497" spans="1:11" x14ac:dyDescent="0.25">
      <c r="A497" s="235" t="s">
        <v>3084</v>
      </c>
      <c r="B497" t="s">
        <v>3085</v>
      </c>
      <c r="C497" s="235"/>
      <c r="D497" s="235" t="str">
        <f t="shared" si="11"/>
        <v>NACE F - 43.11 Demolition</v>
      </c>
      <c r="K497" t="s">
        <v>3086</v>
      </c>
    </row>
    <row r="498" spans="1:11" x14ac:dyDescent="0.25">
      <c r="A498" s="235" t="s">
        <v>3087</v>
      </c>
      <c r="B498" t="s">
        <v>3088</v>
      </c>
      <c r="C498" s="235"/>
      <c r="D498" s="235" t="str">
        <f t="shared" si="11"/>
        <v>NACE F - 43.12 Site preparation</v>
      </c>
      <c r="K498" t="s">
        <v>3089</v>
      </c>
    </row>
    <row r="499" spans="1:11" x14ac:dyDescent="0.25">
      <c r="A499" s="235" t="s">
        <v>3090</v>
      </c>
      <c r="B499" t="s">
        <v>3091</v>
      </c>
      <c r="C499" s="235"/>
      <c r="D499" s="235" t="str">
        <f t="shared" si="11"/>
        <v>NACE F - 43.13 Test drilling and boring</v>
      </c>
      <c r="K499" t="s">
        <v>3092</v>
      </c>
    </row>
    <row r="500" spans="1:11" x14ac:dyDescent="0.25">
      <c r="A500" s="234" t="s">
        <v>3093</v>
      </c>
      <c r="B500" t="s">
        <v>3094</v>
      </c>
      <c r="C500" s="235"/>
      <c r="D500" s="234" t="str">
        <f t="shared" si="11"/>
        <v>NACE F - 43.2 Electrical, plumbing and other construction installation activities</v>
      </c>
      <c r="K500" t="s">
        <v>3095</v>
      </c>
    </row>
    <row r="501" spans="1:11" x14ac:dyDescent="0.25">
      <c r="A501" s="235" t="s">
        <v>3096</v>
      </c>
      <c r="B501" t="s">
        <v>3097</v>
      </c>
      <c r="C501" s="235"/>
      <c r="D501" s="235" t="str">
        <f t="shared" si="11"/>
        <v>NACE F - 43.21 Electrical installation</v>
      </c>
      <c r="K501" t="s">
        <v>3098</v>
      </c>
    </row>
    <row r="502" spans="1:11" x14ac:dyDescent="0.25">
      <c r="A502" s="235" t="s">
        <v>3099</v>
      </c>
      <c r="B502" t="s">
        <v>3100</v>
      </c>
      <c r="C502" s="235"/>
      <c r="D502" s="235" t="str">
        <f t="shared" si="11"/>
        <v>NACE F - 43.22 Plumbing, heat and air-conditioning installation</v>
      </c>
      <c r="K502" t="s">
        <v>3101</v>
      </c>
    </row>
    <row r="503" spans="1:11" x14ac:dyDescent="0.25">
      <c r="A503" s="235" t="s">
        <v>3102</v>
      </c>
      <c r="B503" t="s">
        <v>3103</v>
      </c>
      <c r="C503" s="235"/>
      <c r="D503" s="235" t="str">
        <f t="shared" si="11"/>
        <v>NACE F - 43.23 Installation of insulation</v>
      </c>
      <c r="K503" t="s">
        <v>3104</v>
      </c>
    </row>
    <row r="504" spans="1:11" x14ac:dyDescent="0.25">
      <c r="A504" s="235" t="s">
        <v>3105</v>
      </c>
      <c r="B504" t="s">
        <v>3106</v>
      </c>
      <c r="C504" s="235"/>
      <c r="D504" s="235" t="str">
        <f t="shared" si="11"/>
        <v>NACE F - 43.24 Other construction installation</v>
      </c>
      <c r="K504" t="s">
        <v>3107</v>
      </c>
    </row>
    <row r="505" spans="1:11" x14ac:dyDescent="0.25">
      <c r="A505" s="234" t="s">
        <v>3108</v>
      </c>
      <c r="B505" t="s">
        <v>3109</v>
      </c>
      <c r="C505" s="235"/>
      <c r="D505" s="234" t="str">
        <f t="shared" si="11"/>
        <v>NACE F - 43.3 Building completion and finishing</v>
      </c>
      <c r="K505" t="s">
        <v>3110</v>
      </c>
    </row>
    <row r="506" spans="1:11" x14ac:dyDescent="0.25">
      <c r="A506" s="235" t="s">
        <v>3111</v>
      </c>
      <c r="B506" t="s">
        <v>3112</v>
      </c>
      <c r="C506" s="235"/>
      <c r="D506" s="235" t="str">
        <f t="shared" si="11"/>
        <v>NACE F - 43.31 Plastering</v>
      </c>
      <c r="K506" t="s">
        <v>3113</v>
      </c>
    </row>
    <row r="507" spans="1:11" x14ac:dyDescent="0.25">
      <c r="A507" s="235" t="s">
        <v>3114</v>
      </c>
      <c r="B507" t="s">
        <v>3115</v>
      </c>
      <c r="C507" s="235"/>
      <c r="D507" s="235" t="str">
        <f t="shared" si="11"/>
        <v>NACE F - 43.32 Joinery installation</v>
      </c>
      <c r="K507" t="s">
        <v>3116</v>
      </c>
    </row>
    <row r="508" spans="1:11" x14ac:dyDescent="0.25">
      <c r="A508" s="235" t="s">
        <v>3117</v>
      </c>
      <c r="B508" t="s">
        <v>3118</v>
      </c>
      <c r="C508" s="235"/>
      <c r="D508" s="235" t="str">
        <f t="shared" si="11"/>
        <v>NACE F - 43.33 Floor and wall covering</v>
      </c>
      <c r="K508" t="s">
        <v>3119</v>
      </c>
    </row>
    <row r="509" spans="1:11" x14ac:dyDescent="0.25">
      <c r="A509" s="235" t="s">
        <v>3120</v>
      </c>
      <c r="B509" t="s">
        <v>3121</v>
      </c>
      <c r="C509" s="235"/>
      <c r="D509" s="235" t="str">
        <f t="shared" si="11"/>
        <v>NACE F - 43.34 Painting and glazing</v>
      </c>
      <c r="K509" t="s">
        <v>3122</v>
      </c>
    </row>
    <row r="510" spans="1:11" x14ac:dyDescent="0.25">
      <c r="A510" s="235" t="s">
        <v>3123</v>
      </c>
      <c r="B510" t="s">
        <v>3124</v>
      </c>
      <c r="C510" s="235"/>
      <c r="D510" s="235" t="str">
        <f t="shared" si="11"/>
        <v>NACE F - 43.35 Other building completion and finishing</v>
      </c>
      <c r="K510" t="s">
        <v>3125</v>
      </c>
    </row>
    <row r="511" spans="1:11" x14ac:dyDescent="0.25">
      <c r="A511" s="234" t="s">
        <v>3126</v>
      </c>
      <c r="B511" t="s">
        <v>3127</v>
      </c>
      <c r="C511" s="235"/>
      <c r="D511" s="234" t="str">
        <f t="shared" si="11"/>
        <v>NACE F - 43.4 Specialised construction activities in construction of buildings</v>
      </c>
      <c r="K511" t="s">
        <v>3128</v>
      </c>
    </row>
    <row r="512" spans="1:11" x14ac:dyDescent="0.25">
      <c r="A512" s="235" t="s">
        <v>3129</v>
      </c>
      <c r="B512" t="s">
        <v>3130</v>
      </c>
      <c r="C512" s="235"/>
      <c r="D512" s="235" t="str">
        <f t="shared" si="11"/>
        <v>NACE F - 43.41 Roofing activities</v>
      </c>
      <c r="K512" t="s">
        <v>3131</v>
      </c>
    </row>
    <row r="513" spans="1:11" x14ac:dyDescent="0.25">
      <c r="A513" s="235" t="s">
        <v>3132</v>
      </c>
      <c r="B513" t="s">
        <v>3133</v>
      </c>
      <c r="C513" s="235"/>
      <c r="D513" s="235" t="str">
        <f t="shared" si="11"/>
        <v>NACE F - 43.42 Other specialised construction activities in construction of buildings</v>
      </c>
      <c r="K513" t="s">
        <v>3134</v>
      </c>
    </row>
    <row r="514" spans="1:11" x14ac:dyDescent="0.25">
      <c r="A514" s="234" t="s">
        <v>3135</v>
      </c>
      <c r="B514" t="s">
        <v>3136</v>
      </c>
      <c r="C514" s="235"/>
      <c r="D514" s="234" t="str">
        <f t="shared" ref="D514:D577" si="12">_xlfn.CONCAT("NACE ", A514)</f>
        <v>NACE F - 43.5 Specialised construction activities in civil engineering</v>
      </c>
      <c r="K514" t="s">
        <v>3137</v>
      </c>
    </row>
    <row r="515" spans="1:11" x14ac:dyDescent="0.25">
      <c r="A515" s="235" t="s">
        <v>3138</v>
      </c>
      <c r="B515" t="s">
        <v>3139</v>
      </c>
      <c r="C515" s="235"/>
      <c r="D515" s="235" t="str">
        <f t="shared" si="12"/>
        <v>NACE F - 43.50 Specialised construction activities in civil engineering</v>
      </c>
      <c r="K515" t="s">
        <v>3140</v>
      </c>
    </row>
    <row r="516" spans="1:11" x14ac:dyDescent="0.25">
      <c r="A516" s="234" t="s">
        <v>3141</v>
      </c>
      <c r="B516" t="s">
        <v>3142</v>
      </c>
      <c r="C516" s="235"/>
      <c r="D516" s="234" t="str">
        <f t="shared" si="12"/>
        <v>NACE F - 43.6 Intermediation service activities for specialised construction services</v>
      </c>
      <c r="K516" t="s">
        <v>3143</v>
      </c>
    </row>
    <row r="517" spans="1:11" x14ac:dyDescent="0.25">
      <c r="A517" s="235" t="s">
        <v>3144</v>
      </c>
      <c r="B517" t="s">
        <v>3145</v>
      </c>
      <c r="C517" s="235"/>
      <c r="D517" s="235" t="str">
        <f t="shared" si="12"/>
        <v>NACE F - 43.60 Intermediation service activities for specialised construction services</v>
      </c>
      <c r="K517" t="s">
        <v>3146</v>
      </c>
    </row>
    <row r="518" spans="1:11" x14ac:dyDescent="0.25">
      <c r="A518" s="234" t="s">
        <v>3147</v>
      </c>
      <c r="B518" t="s">
        <v>3148</v>
      </c>
      <c r="C518" s="235"/>
      <c r="D518" s="234" t="str">
        <f t="shared" si="12"/>
        <v>NACE F - 43.9 Other specialised construction activities</v>
      </c>
      <c r="K518" t="s">
        <v>3149</v>
      </c>
    </row>
    <row r="519" spans="1:11" x14ac:dyDescent="0.25">
      <c r="A519" s="235" t="s">
        <v>3150</v>
      </c>
      <c r="B519" t="s">
        <v>3151</v>
      </c>
      <c r="C519" s="235"/>
      <c r="D519" s="235" t="str">
        <f t="shared" si="12"/>
        <v>NACE F - 43.91 Masonry and bricklaying activities</v>
      </c>
      <c r="K519" t="s">
        <v>3152</v>
      </c>
    </row>
    <row r="520" spans="1:11" x14ac:dyDescent="0.25">
      <c r="A520" s="235" t="s">
        <v>3153</v>
      </c>
      <c r="B520" t="s">
        <v>3154</v>
      </c>
      <c r="C520" s="235"/>
      <c r="D520" s="235" t="str">
        <f t="shared" si="12"/>
        <v>NACE F - 43.99 Other specialised construction activities n.e.c.</v>
      </c>
      <c r="K520" t="s">
        <v>3155</v>
      </c>
    </row>
    <row r="521" spans="1:11" x14ac:dyDescent="0.25">
      <c r="A521" s="232" t="s">
        <v>3156</v>
      </c>
      <c r="B521" t="s">
        <v>3157</v>
      </c>
      <c r="C521" s="235"/>
      <c r="D521" s="232" t="str">
        <f t="shared" si="12"/>
        <v>NACE G - WHOLESALE AND RETAIL TRADE</v>
      </c>
      <c r="K521" t="s">
        <v>3158</v>
      </c>
    </row>
    <row r="522" spans="1:11" x14ac:dyDescent="0.25">
      <c r="A522" s="231" t="s">
        <v>3159</v>
      </c>
      <c r="B522" t="s">
        <v>3160</v>
      </c>
      <c r="C522" s="235"/>
      <c r="D522" s="231" t="str">
        <f t="shared" si="12"/>
        <v>NACE G - 46 Wholesale trade</v>
      </c>
      <c r="K522" t="s">
        <v>3161</v>
      </c>
    </row>
    <row r="523" spans="1:11" x14ac:dyDescent="0.25">
      <c r="A523" s="234" t="s">
        <v>3162</v>
      </c>
      <c r="B523" t="s">
        <v>3163</v>
      </c>
      <c r="C523" s="235"/>
      <c r="D523" s="234" t="str">
        <f t="shared" si="12"/>
        <v>NACE G - 46.1 Wholesale on a fee or contract basis</v>
      </c>
      <c r="K523" t="s">
        <v>3164</v>
      </c>
    </row>
    <row r="524" spans="1:11" x14ac:dyDescent="0.25">
      <c r="A524" s="235" t="s">
        <v>3165</v>
      </c>
      <c r="B524" t="s">
        <v>3166</v>
      </c>
      <c r="C524" s="235"/>
      <c r="D524" s="235" t="str">
        <f t="shared" si="12"/>
        <v>NACE G - 46.11 Activities of agents involved in the wholesale of agricultural raw materials, live animals, textile raw materials and semi-finished goods</v>
      </c>
      <c r="K524" t="s">
        <v>3167</v>
      </c>
    </row>
    <row r="525" spans="1:11" x14ac:dyDescent="0.25">
      <c r="A525" s="235" t="s">
        <v>3168</v>
      </c>
      <c r="B525" t="s">
        <v>3169</v>
      </c>
      <c r="C525" s="235"/>
      <c r="D525" s="235" t="str">
        <f t="shared" si="12"/>
        <v>NACE G - 46.12 Activities of agents involved in the wholesale of fuels, ores, metals and industrial chemicals</v>
      </c>
      <c r="K525" t="s">
        <v>3170</v>
      </c>
    </row>
    <row r="526" spans="1:11" x14ac:dyDescent="0.25">
      <c r="A526" s="235" t="s">
        <v>3171</v>
      </c>
      <c r="B526" t="s">
        <v>3172</v>
      </c>
      <c r="C526" s="235"/>
      <c r="D526" s="235" t="str">
        <f t="shared" si="12"/>
        <v>NACE G - 46.13 Activities of agents involved in the wholesale of timber and building materials</v>
      </c>
      <c r="K526" t="s">
        <v>3173</v>
      </c>
    </row>
    <row r="527" spans="1:11" x14ac:dyDescent="0.25">
      <c r="A527" s="235" t="s">
        <v>3174</v>
      </c>
      <c r="B527" t="s">
        <v>3175</v>
      </c>
      <c r="C527" s="235"/>
      <c r="D527" s="235" t="str">
        <f t="shared" si="12"/>
        <v>NACE G - 46.14 Activities of agents involved in the wholesale of machinery, industrial equipment, ships and aircraft</v>
      </c>
      <c r="K527" t="s">
        <v>3176</v>
      </c>
    </row>
    <row r="528" spans="1:11" x14ac:dyDescent="0.25">
      <c r="A528" s="235" t="s">
        <v>3177</v>
      </c>
      <c r="B528" t="s">
        <v>3178</v>
      </c>
      <c r="C528" s="235"/>
      <c r="D528" s="235" t="str">
        <f t="shared" si="12"/>
        <v>NACE G - 46.15 Activities of agents involved in the wholesale of furniture, household goods, hardware and ironmongery</v>
      </c>
      <c r="K528" t="s">
        <v>3179</v>
      </c>
    </row>
    <row r="529" spans="1:11" x14ac:dyDescent="0.25">
      <c r="A529" s="235" t="s">
        <v>3180</v>
      </c>
      <c r="B529" t="s">
        <v>3181</v>
      </c>
      <c r="C529" s="235"/>
      <c r="D529" s="235" t="str">
        <f t="shared" si="12"/>
        <v>NACE G - 46.16 Activities of agents involved in the wholesale of textiles, clothing, fur, footwear and leather goods</v>
      </c>
      <c r="K529" t="s">
        <v>3182</v>
      </c>
    </row>
    <row r="530" spans="1:11" x14ac:dyDescent="0.25">
      <c r="A530" s="235" t="s">
        <v>3183</v>
      </c>
      <c r="B530" t="s">
        <v>3184</v>
      </c>
      <c r="C530" s="235"/>
      <c r="D530" s="235" t="str">
        <f t="shared" si="12"/>
        <v>NACE G - 46.17 Activities of agents involved in the wholesale of food, beverages and tobacco</v>
      </c>
      <c r="K530" t="s">
        <v>3185</v>
      </c>
    </row>
    <row r="531" spans="1:11" x14ac:dyDescent="0.25">
      <c r="A531" s="235" t="s">
        <v>3186</v>
      </c>
      <c r="B531" t="s">
        <v>3187</v>
      </c>
      <c r="C531" s="235"/>
      <c r="D531" s="235" t="str">
        <f t="shared" si="12"/>
        <v>NACE G - 46.18 Activities of agents involved in the wholesale of other particular products</v>
      </c>
      <c r="K531" t="s">
        <v>3188</v>
      </c>
    </row>
    <row r="532" spans="1:11" x14ac:dyDescent="0.25">
      <c r="A532" s="235" t="s">
        <v>3189</v>
      </c>
      <c r="B532" t="s">
        <v>3190</v>
      </c>
      <c r="C532" s="235"/>
      <c r="D532" s="235" t="str">
        <f t="shared" si="12"/>
        <v>NACE G - 46.19 Activities of agents involved in non-specialised wholesale</v>
      </c>
      <c r="K532" t="s">
        <v>3191</v>
      </c>
    </row>
    <row r="533" spans="1:11" x14ac:dyDescent="0.25">
      <c r="A533" s="234" t="s">
        <v>3192</v>
      </c>
      <c r="B533" t="s">
        <v>3193</v>
      </c>
      <c r="C533" s="235"/>
      <c r="D533" s="234" t="str">
        <f t="shared" si="12"/>
        <v>NACE G - 46.2 Wholesale of agricultural raw materials and live animals</v>
      </c>
      <c r="K533" t="s">
        <v>3194</v>
      </c>
    </row>
    <row r="534" spans="1:11" x14ac:dyDescent="0.25">
      <c r="A534" s="235" t="s">
        <v>3195</v>
      </c>
      <c r="B534" t="s">
        <v>3196</v>
      </c>
      <c r="C534" s="235"/>
      <c r="D534" s="235" t="str">
        <f t="shared" si="12"/>
        <v>NACE G - 46.21 Wholesale of grain, unmanufactured tobacco, seeds and animal feeds</v>
      </c>
      <c r="K534" t="s">
        <v>3197</v>
      </c>
    </row>
    <row r="535" spans="1:11" x14ac:dyDescent="0.25">
      <c r="A535" s="235" t="s">
        <v>3198</v>
      </c>
      <c r="B535" t="s">
        <v>3199</v>
      </c>
      <c r="C535" s="235"/>
      <c r="D535" s="235" t="str">
        <f t="shared" si="12"/>
        <v>NACE G - 46.22 Wholesale of flowers and plants</v>
      </c>
      <c r="K535" t="s">
        <v>3200</v>
      </c>
    </row>
    <row r="536" spans="1:11" x14ac:dyDescent="0.25">
      <c r="A536" s="235" t="s">
        <v>3201</v>
      </c>
      <c r="B536" t="s">
        <v>3202</v>
      </c>
      <c r="C536" s="235"/>
      <c r="D536" s="235" t="str">
        <f t="shared" si="12"/>
        <v>NACE G - 46.23 Wholesale of live animals</v>
      </c>
      <c r="K536" t="s">
        <v>3203</v>
      </c>
    </row>
    <row r="537" spans="1:11" x14ac:dyDescent="0.25">
      <c r="A537" s="235" t="s">
        <v>3204</v>
      </c>
      <c r="B537" t="s">
        <v>3205</v>
      </c>
      <c r="C537" s="235"/>
      <c r="D537" s="235" t="str">
        <f t="shared" si="12"/>
        <v>NACE G - 46.24 Wholesale of hides, skins and leather</v>
      </c>
      <c r="K537" t="s">
        <v>3206</v>
      </c>
    </row>
    <row r="538" spans="1:11" x14ac:dyDescent="0.25">
      <c r="A538" s="234" t="s">
        <v>3207</v>
      </c>
      <c r="B538" t="s">
        <v>3208</v>
      </c>
      <c r="C538" s="235"/>
      <c r="D538" s="234" t="str">
        <f t="shared" si="12"/>
        <v>NACE G - 46.3 Wholesale of food, beverages and tobacco</v>
      </c>
      <c r="K538" t="s">
        <v>3209</v>
      </c>
    </row>
    <row r="539" spans="1:11" x14ac:dyDescent="0.25">
      <c r="A539" s="235" t="s">
        <v>3210</v>
      </c>
      <c r="B539" t="s">
        <v>3211</v>
      </c>
      <c r="C539" s="235"/>
      <c r="D539" s="235" t="str">
        <f t="shared" si="12"/>
        <v>NACE G - 46.31 Wholesale of fruit and vegetables</v>
      </c>
      <c r="K539" t="s">
        <v>3212</v>
      </c>
    </row>
    <row r="540" spans="1:11" x14ac:dyDescent="0.25">
      <c r="A540" s="235" t="s">
        <v>3213</v>
      </c>
      <c r="B540" t="s">
        <v>3214</v>
      </c>
      <c r="C540" s="235"/>
      <c r="D540" s="235" t="str">
        <f t="shared" si="12"/>
        <v>NACE G - 46.32 Wholesale of meat, meat products, fish and fish products</v>
      </c>
      <c r="K540" t="s">
        <v>3215</v>
      </c>
    </row>
    <row r="541" spans="1:11" x14ac:dyDescent="0.25">
      <c r="A541" s="235" t="s">
        <v>3216</v>
      </c>
      <c r="B541" t="s">
        <v>3217</v>
      </c>
      <c r="C541" s="235"/>
      <c r="D541" s="235" t="str">
        <f t="shared" si="12"/>
        <v>NACE G - 46.33 Wholesale of dairy products, eggs and edible oils and fats</v>
      </c>
      <c r="K541" t="s">
        <v>3218</v>
      </c>
    </row>
    <row r="542" spans="1:11" x14ac:dyDescent="0.25">
      <c r="A542" s="235" t="s">
        <v>3219</v>
      </c>
      <c r="B542" t="s">
        <v>3220</v>
      </c>
      <c r="C542" s="235"/>
      <c r="D542" s="235" t="str">
        <f t="shared" si="12"/>
        <v>NACE G - 46.34 Wholesale of beverages</v>
      </c>
      <c r="K542" t="s">
        <v>3221</v>
      </c>
    </row>
    <row r="543" spans="1:11" x14ac:dyDescent="0.25">
      <c r="A543" s="235" t="s">
        <v>3222</v>
      </c>
      <c r="B543" t="s">
        <v>3223</v>
      </c>
      <c r="C543" s="235"/>
      <c r="D543" s="235" t="str">
        <f t="shared" si="12"/>
        <v>NACE G - 46.35 Wholesale of tobacco products</v>
      </c>
      <c r="K543" t="s">
        <v>3224</v>
      </c>
    </row>
    <row r="544" spans="1:11" x14ac:dyDescent="0.25">
      <c r="A544" s="235" t="s">
        <v>3225</v>
      </c>
      <c r="B544" t="s">
        <v>3226</v>
      </c>
      <c r="C544" s="235"/>
      <c r="D544" s="235" t="str">
        <f t="shared" si="12"/>
        <v>NACE G - 46.36 Wholesale of sugar, chocolate and sugar confectionery</v>
      </c>
      <c r="K544" t="s">
        <v>3227</v>
      </c>
    </row>
    <row r="545" spans="1:11" x14ac:dyDescent="0.25">
      <c r="A545" s="235" t="s">
        <v>3228</v>
      </c>
      <c r="B545" t="s">
        <v>3229</v>
      </c>
      <c r="C545" s="235"/>
      <c r="D545" s="235" t="str">
        <f t="shared" si="12"/>
        <v>NACE G - 46.37 Wholesale of coffee, tea, cocoa and spices</v>
      </c>
      <c r="K545" t="s">
        <v>3230</v>
      </c>
    </row>
    <row r="546" spans="1:11" x14ac:dyDescent="0.25">
      <c r="A546" s="235" t="s">
        <v>3231</v>
      </c>
      <c r="B546" t="s">
        <v>3232</v>
      </c>
      <c r="C546" s="235"/>
      <c r="D546" s="235" t="str">
        <f t="shared" si="12"/>
        <v>NACE G - 46.38 Wholesale of other food</v>
      </c>
      <c r="K546" t="s">
        <v>3233</v>
      </c>
    </row>
    <row r="547" spans="1:11" x14ac:dyDescent="0.25">
      <c r="A547" s="235" t="s">
        <v>3234</v>
      </c>
      <c r="B547" t="s">
        <v>3235</v>
      </c>
      <c r="C547" s="235"/>
      <c r="D547" s="235" t="str">
        <f t="shared" si="12"/>
        <v>NACE G - 46.39 Non-specialised wholesale of food, beverages and tobacco</v>
      </c>
      <c r="K547" t="s">
        <v>3236</v>
      </c>
    </row>
    <row r="548" spans="1:11" x14ac:dyDescent="0.25">
      <c r="A548" s="234" t="s">
        <v>3237</v>
      </c>
      <c r="B548" t="s">
        <v>3238</v>
      </c>
      <c r="C548" s="235"/>
      <c r="D548" s="234" t="str">
        <f t="shared" si="12"/>
        <v>NACE G - 46.4 Wholesale of household goods</v>
      </c>
      <c r="K548" t="s">
        <v>3239</v>
      </c>
    </row>
    <row r="549" spans="1:11" x14ac:dyDescent="0.25">
      <c r="A549" s="235" t="s">
        <v>3240</v>
      </c>
      <c r="B549" t="s">
        <v>3241</v>
      </c>
      <c r="C549" s="235"/>
      <c r="D549" s="235" t="str">
        <f t="shared" si="12"/>
        <v>NACE G - 46.41 Wholesale of textiles</v>
      </c>
      <c r="K549" t="s">
        <v>3242</v>
      </c>
    </row>
    <row r="550" spans="1:11" x14ac:dyDescent="0.25">
      <c r="A550" s="235" t="s">
        <v>3243</v>
      </c>
      <c r="B550" t="s">
        <v>3244</v>
      </c>
      <c r="C550" s="235"/>
      <c r="D550" s="235" t="str">
        <f t="shared" si="12"/>
        <v>NACE G - 46.42 Wholesale of clothing and footwear</v>
      </c>
      <c r="K550" t="s">
        <v>3245</v>
      </c>
    </row>
    <row r="551" spans="1:11" x14ac:dyDescent="0.25">
      <c r="A551" s="235" t="s">
        <v>3246</v>
      </c>
      <c r="B551" t="s">
        <v>3247</v>
      </c>
      <c r="C551" s="235"/>
      <c r="D551" s="235" t="str">
        <f t="shared" si="12"/>
        <v>NACE G - 46.43 Wholesale of electrical household appliances</v>
      </c>
      <c r="K551" t="s">
        <v>3248</v>
      </c>
    </row>
    <row r="552" spans="1:11" x14ac:dyDescent="0.25">
      <c r="A552" s="235" t="s">
        <v>3249</v>
      </c>
      <c r="B552" t="s">
        <v>3250</v>
      </c>
      <c r="C552" s="235"/>
      <c r="D552" s="235" t="str">
        <f t="shared" si="12"/>
        <v>NACE G - 46.44 Wholesale of china and glassware and cleaning materials</v>
      </c>
      <c r="K552" t="s">
        <v>3251</v>
      </c>
    </row>
    <row r="553" spans="1:11" x14ac:dyDescent="0.25">
      <c r="A553" s="235" t="s">
        <v>3252</v>
      </c>
      <c r="B553" t="s">
        <v>3253</v>
      </c>
      <c r="C553" s="235"/>
      <c r="D553" s="235" t="str">
        <f t="shared" si="12"/>
        <v>NACE G - 46.45 Wholesale of perfume and cosmetics</v>
      </c>
      <c r="K553" t="s">
        <v>3254</v>
      </c>
    </row>
    <row r="554" spans="1:11" x14ac:dyDescent="0.25">
      <c r="A554" s="235" t="s">
        <v>3255</v>
      </c>
      <c r="B554" t="s">
        <v>3256</v>
      </c>
      <c r="C554" s="235"/>
      <c r="D554" s="235" t="str">
        <f t="shared" si="12"/>
        <v>NACE G - 46.46 Wholesale of pharmaceutical and medical goods</v>
      </c>
      <c r="K554" t="s">
        <v>3257</v>
      </c>
    </row>
    <row r="555" spans="1:11" x14ac:dyDescent="0.25">
      <c r="A555" s="235" t="s">
        <v>3258</v>
      </c>
      <c r="B555" t="s">
        <v>3259</v>
      </c>
      <c r="C555" s="235"/>
      <c r="D555" s="235" t="str">
        <f t="shared" si="12"/>
        <v>NACE G - 46.47 Wholesale of household, office and shop furniture, carpets and lighting equipment</v>
      </c>
      <c r="K555" t="s">
        <v>3260</v>
      </c>
    </row>
    <row r="556" spans="1:11" x14ac:dyDescent="0.25">
      <c r="A556" s="235" t="s">
        <v>3261</v>
      </c>
      <c r="B556" t="s">
        <v>3262</v>
      </c>
      <c r="C556" s="235"/>
      <c r="D556" s="235" t="str">
        <f t="shared" si="12"/>
        <v>NACE G - 46.48 Wholesale of watches and jewellery</v>
      </c>
      <c r="K556" t="s">
        <v>3263</v>
      </c>
    </row>
    <row r="557" spans="1:11" x14ac:dyDescent="0.25">
      <c r="A557" s="235" t="s">
        <v>3264</v>
      </c>
      <c r="B557" t="s">
        <v>3265</v>
      </c>
      <c r="C557" s="235"/>
      <c r="D557" s="235" t="str">
        <f t="shared" si="12"/>
        <v>NACE G - 46.49 Wholesale of other household goods</v>
      </c>
      <c r="K557" t="s">
        <v>3266</v>
      </c>
    </row>
    <row r="558" spans="1:11" x14ac:dyDescent="0.25">
      <c r="A558" s="234" t="s">
        <v>3267</v>
      </c>
      <c r="B558" t="s">
        <v>3268</v>
      </c>
      <c r="C558" s="235"/>
      <c r="D558" s="234" t="str">
        <f t="shared" si="12"/>
        <v>NACE G - 46.5 Wholesale of information and communication equipment</v>
      </c>
      <c r="K558" t="s">
        <v>3269</v>
      </c>
    </row>
    <row r="559" spans="1:11" x14ac:dyDescent="0.25">
      <c r="A559" s="235" t="s">
        <v>3270</v>
      </c>
      <c r="B559" t="s">
        <v>3271</v>
      </c>
      <c r="C559" s="235"/>
      <c r="D559" s="235" t="str">
        <f t="shared" si="12"/>
        <v>NACE G - 46.50 Wholesale of information and communication equipment</v>
      </c>
      <c r="K559" t="s">
        <v>3272</v>
      </c>
    </row>
    <row r="560" spans="1:11" x14ac:dyDescent="0.25">
      <c r="A560" s="234" t="s">
        <v>3273</v>
      </c>
      <c r="B560" t="s">
        <v>3274</v>
      </c>
      <c r="C560" s="235"/>
      <c r="D560" s="234" t="str">
        <f t="shared" si="12"/>
        <v>NACE G - 46.6 Wholesale of other machinery, equipment and supplies</v>
      </c>
      <c r="K560" t="s">
        <v>3275</v>
      </c>
    </row>
    <row r="561" spans="1:11" x14ac:dyDescent="0.25">
      <c r="A561" s="235" t="s">
        <v>3276</v>
      </c>
      <c r="B561" t="s">
        <v>3277</v>
      </c>
      <c r="C561" s="235"/>
      <c r="D561" s="235" t="str">
        <f t="shared" si="12"/>
        <v>NACE G - 46.61 Wholesale of agricultural machinery, equipment and supplies</v>
      </c>
      <c r="K561" t="s">
        <v>3278</v>
      </c>
    </row>
    <row r="562" spans="1:11" x14ac:dyDescent="0.25">
      <c r="A562" s="235" t="s">
        <v>3279</v>
      </c>
      <c r="B562" t="s">
        <v>3280</v>
      </c>
      <c r="C562" s="235"/>
      <c r="D562" s="235" t="str">
        <f t="shared" si="12"/>
        <v>NACE G - 46.62 Wholesale of machine tools</v>
      </c>
      <c r="K562" t="s">
        <v>3281</v>
      </c>
    </row>
    <row r="563" spans="1:11" x14ac:dyDescent="0.25">
      <c r="A563" s="235" t="s">
        <v>3282</v>
      </c>
      <c r="B563" t="s">
        <v>3283</v>
      </c>
      <c r="C563" s="235"/>
      <c r="D563" s="235" t="str">
        <f t="shared" si="12"/>
        <v>NACE G - 46.63 Wholesale of mining, construction and civil engineering machinery</v>
      </c>
      <c r="K563" t="s">
        <v>3284</v>
      </c>
    </row>
    <row r="564" spans="1:11" x14ac:dyDescent="0.25">
      <c r="A564" s="235" t="s">
        <v>3285</v>
      </c>
      <c r="B564" t="s">
        <v>3286</v>
      </c>
      <c r="C564" s="235"/>
      <c r="D564" s="235" t="str">
        <f t="shared" si="12"/>
        <v>NACE G - 46.64 Wholesale of other machinery and equipment</v>
      </c>
      <c r="K564" t="s">
        <v>3287</v>
      </c>
    </row>
    <row r="565" spans="1:11" x14ac:dyDescent="0.25">
      <c r="A565" s="234" t="s">
        <v>3288</v>
      </c>
      <c r="B565" t="s">
        <v>3289</v>
      </c>
      <c r="C565" s="235"/>
      <c r="D565" s="234" t="str">
        <f t="shared" si="12"/>
        <v>NACE G - 46.7 Wholesale of motor vehicles, motorcycles and related parts and accessories</v>
      </c>
      <c r="K565" t="s">
        <v>3290</v>
      </c>
    </row>
    <row r="566" spans="1:11" x14ac:dyDescent="0.25">
      <c r="A566" s="235" t="s">
        <v>3291</v>
      </c>
      <c r="B566" t="s">
        <v>3292</v>
      </c>
      <c r="C566" s="235"/>
      <c r="D566" s="235" t="str">
        <f t="shared" si="12"/>
        <v>NACE G - 46.71 Wholesale of motor vehicles</v>
      </c>
      <c r="K566" t="s">
        <v>3293</v>
      </c>
    </row>
    <row r="567" spans="1:11" x14ac:dyDescent="0.25">
      <c r="A567" s="235" t="s">
        <v>3294</v>
      </c>
      <c r="B567" t="s">
        <v>3295</v>
      </c>
      <c r="C567" s="235"/>
      <c r="D567" s="235" t="str">
        <f t="shared" si="12"/>
        <v>NACE G - 46.72 Wholesale of motor vehicle parts and accessories</v>
      </c>
      <c r="K567" t="s">
        <v>3296</v>
      </c>
    </row>
    <row r="568" spans="1:11" x14ac:dyDescent="0.25">
      <c r="A568" s="235" t="s">
        <v>3297</v>
      </c>
      <c r="B568" t="s">
        <v>3298</v>
      </c>
      <c r="C568" s="235"/>
      <c r="D568" s="235" t="str">
        <f t="shared" si="12"/>
        <v>NACE G - 46.73 Wholesale of motorcycles, motorcycle parts and accessories</v>
      </c>
      <c r="K568" t="s">
        <v>3299</v>
      </c>
    </row>
    <row r="569" spans="1:11" x14ac:dyDescent="0.25">
      <c r="A569" s="234" t="s">
        <v>3300</v>
      </c>
      <c r="B569" t="s">
        <v>3301</v>
      </c>
      <c r="C569" s="235"/>
      <c r="D569" s="234" t="str">
        <f t="shared" si="12"/>
        <v>NACE G - 46.8 Other specialised wholesale</v>
      </c>
      <c r="K569" t="s">
        <v>3302</v>
      </c>
    </row>
    <row r="570" spans="1:11" x14ac:dyDescent="0.25">
      <c r="A570" s="235" t="s">
        <v>3303</v>
      </c>
      <c r="B570" t="s">
        <v>3304</v>
      </c>
      <c r="C570" s="235"/>
      <c r="D570" s="235" t="str">
        <f t="shared" si="12"/>
        <v>NACE G - 46.81 Wholesale of solid, liquid and gaseous fuels and related products</v>
      </c>
      <c r="K570" t="s">
        <v>3305</v>
      </c>
    </row>
    <row r="571" spans="1:11" x14ac:dyDescent="0.25">
      <c r="A571" s="235" t="s">
        <v>3306</v>
      </c>
      <c r="B571" t="s">
        <v>3307</v>
      </c>
      <c r="C571" s="235"/>
      <c r="D571" s="235" t="str">
        <f t="shared" si="12"/>
        <v>NACE G - 46.82 Wholesale of metals and metal ores</v>
      </c>
      <c r="K571" t="s">
        <v>3308</v>
      </c>
    </row>
    <row r="572" spans="1:11" x14ac:dyDescent="0.25">
      <c r="A572" s="235" t="s">
        <v>3309</v>
      </c>
      <c r="B572" t="s">
        <v>3310</v>
      </c>
      <c r="C572" s="235"/>
      <c r="D572" s="235" t="str">
        <f t="shared" si="12"/>
        <v>NACE G - 46.83 Wholesale of wood, construction materials and sanitary equipment</v>
      </c>
      <c r="K572" t="s">
        <v>3311</v>
      </c>
    </row>
    <row r="573" spans="1:11" x14ac:dyDescent="0.25">
      <c r="A573" s="235" t="s">
        <v>3312</v>
      </c>
      <c r="B573" t="s">
        <v>3313</v>
      </c>
      <c r="C573" s="235"/>
      <c r="D573" s="235" t="str">
        <f t="shared" si="12"/>
        <v>NACE G - 46.84 Wholesale of hardware, plumbing and heating equipment and supplies</v>
      </c>
      <c r="K573" t="s">
        <v>3314</v>
      </c>
    </row>
    <row r="574" spans="1:11" x14ac:dyDescent="0.25">
      <c r="A574" s="235" t="s">
        <v>3315</v>
      </c>
      <c r="B574" t="s">
        <v>3316</v>
      </c>
      <c r="C574" s="235"/>
      <c r="D574" s="235" t="str">
        <f t="shared" si="12"/>
        <v>NACE G - 46.85 Wholesale of chemical products</v>
      </c>
      <c r="K574" t="s">
        <v>3317</v>
      </c>
    </row>
    <row r="575" spans="1:11" x14ac:dyDescent="0.25">
      <c r="A575" s="235" t="s">
        <v>3318</v>
      </c>
      <c r="B575" t="s">
        <v>3319</v>
      </c>
      <c r="C575" s="235"/>
      <c r="D575" s="235" t="str">
        <f t="shared" si="12"/>
        <v>NACE G - 46.86 Wholesale of other intermediate products</v>
      </c>
      <c r="K575" t="s">
        <v>3320</v>
      </c>
    </row>
    <row r="576" spans="1:11" x14ac:dyDescent="0.25">
      <c r="A576" s="235" t="s">
        <v>3321</v>
      </c>
      <c r="B576" t="s">
        <v>3322</v>
      </c>
      <c r="C576" s="235"/>
      <c r="D576" s="235" t="str">
        <f t="shared" si="12"/>
        <v>NACE G - 46.87 Wholesale of waste and scrap</v>
      </c>
      <c r="K576" t="s">
        <v>3323</v>
      </c>
    </row>
    <row r="577" spans="1:11" x14ac:dyDescent="0.25">
      <c r="A577" s="235" t="s">
        <v>3324</v>
      </c>
      <c r="B577" t="s">
        <v>3325</v>
      </c>
      <c r="C577" s="235"/>
      <c r="D577" s="235" t="str">
        <f t="shared" si="12"/>
        <v>NACE G - 46.89 Other specialised wholesale n.e.c.</v>
      </c>
      <c r="K577" t="s">
        <v>3326</v>
      </c>
    </row>
    <row r="578" spans="1:11" x14ac:dyDescent="0.25">
      <c r="A578" s="234" t="s">
        <v>3327</v>
      </c>
      <c r="B578" t="s">
        <v>3328</v>
      </c>
      <c r="C578" s="235"/>
      <c r="D578" s="234" t="str">
        <f t="shared" ref="D578:D641" si="13">_xlfn.CONCAT("NACE ", A578)</f>
        <v>NACE G - 46.9 Non-specialised wholesale trade</v>
      </c>
      <c r="K578" t="s">
        <v>3329</v>
      </c>
    </row>
    <row r="579" spans="1:11" x14ac:dyDescent="0.25">
      <c r="A579" s="235" t="s">
        <v>3330</v>
      </c>
      <c r="B579" t="s">
        <v>3331</v>
      </c>
      <c r="C579" s="235"/>
      <c r="D579" s="235" t="str">
        <f t="shared" si="13"/>
        <v>NACE G - 46.90 Non-specialised wholesale trade</v>
      </c>
      <c r="K579" t="s">
        <v>3332</v>
      </c>
    </row>
    <row r="580" spans="1:11" x14ac:dyDescent="0.25">
      <c r="A580" s="231" t="s">
        <v>3333</v>
      </c>
      <c r="B580" t="s">
        <v>3334</v>
      </c>
      <c r="C580" s="235"/>
      <c r="D580" s="231" t="str">
        <f t="shared" si="13"/>
        <v>NACE G - 47 Retail trade</v>
      </c>
      <c r="K580" t="s">
        <v>3335</v>
      </c>
    </row>
    <row r="581" spans="1:11" x14ac:dyDescent="0.25">
      <c r="A581" s="234" t="s">
        <v>3336</v>
      </c>
      <c r="B581" t="s">
        <v>3337</v>
      </c>
      <c r="C581" s="235"/>
      <c r="D581" s="234" t="str">
        <f t="shared" si="13"/>
        <v>NACE G - 47.1 Non-specialised retail sale</v>
      </c>
      <c r="K581" t="s">
        <v>3338</v>
      </c>
    </row>
    <row r="582" spans="1:11" x14ac:dyDescent="0.25">
      <c r="A582" s="235" t="s">
        <v>3339</v>
      </c>
      <c r="B582" t="s">
        <v>3340</v>
      </c>
      <c r="C582" s="235"/>
      <c r="D582" s="235" t="str">
        <f t="shared" si="13"/>
        <v>NACE G - 47.11 Non-specialised retail sale of predominately food, beverages or tobacco</v>
      </c>
      <c r="K582" t="s">
        <v>3341</v>
      </c>
    </row>
    <row r="583" spans="1:11" x14ac:dyDescent="0.25">
      <c r="A583" s="235" t="s">
        <v>3342</v>
      </c>
      <c r="B583" t="s">
        <v>3343</v>
      </c>
      <c r="C583" s="235"/>
      <c r="D583" s="235" t="str">
        <f t="shared" si="13"/>
        <v>NACE G - 47.12 Other non-specialised retail sale</v>
      </c>
      <c r="K583" t="s">
        <v>3344</v>
      </c>
    </row>
    <row r="584" spans="1:11" x14ac:dyDescent="0.25">
      <c r="A584" s="234" t="s">
        <v>3345</v>
      </c>
      <c r="B584" t="s">
        <v>3346</v>
      </c>
      <c r="C584" s="235"/>
      <c r="D584" s="234" t="str">
        <f t="shared" si="13"/>
        <v>NACE G - 47.2 Retail sale of food, beverages and tobacco</v>
      </c>
      <c r="K584" t="s">
        <v>3347</v>
      </c>
    </row>
    <row r="585" spans="1:11" x14ac:dyDescent="0.25">
      <c r="A585" s="235" t="s">
        <v>3348</v>
      </c>
      <c r="B585" t="s">
        <v>3349</v>
      </c>
      <c r="C585" s="235"/>
      <c r="D585" s="235" t="str">
        <f t="shared" si="13"/>
        <v>NACE G - 47.21 Retail sale of fruit and vegetables</v>
      </c>
      <c r="K585" t="s">
        <v>3350</v>
      </c>
    </row>
    <row r="586" spans="1:11" x14ac:dyDescent="0.25">
      <c r="A586" s="235" t="s">
        <v>3351</v>
      </c>
      <c r="B586" t="s">
        <v>3352</v>
      </c>
      <c r="C586" s="235"/>
      <c r="D586" s="235" t="str">
        <f t="shared" si="13"/>
        <v>NACE G - 47.22 Retail sale of meat and meat products</v>
      </c>
      <c r="K586" t="s">
        <v>3353</v>
      </c>
    </row>
    <row r="587" spans="1:11" x14ac:dyDescent="0.25">
      <c r="A587" s="235" t="s">
        <v>3354</v>
      </c>
      <c r="B587" t="s">
        <v>3355</v>
      </c>
      <c r="C587" s="235"/>
      <c r="D587" s="235" t="str">
        <f t="shared" si="13"/>
        <v>NACE G - 47.23 Retail sale of fish, crustaceans and molluscs</v>
      </c>
      <c r="K587" t="s">
        <v>3356</v>
      </c>
    </row>
    <row r="588" spans="1:11" x14ac:dyDescent="0.25">
      <c r="A588" s="235" t="s">
        <v>3357</v>
      </c>
      <c r="B588" t="s">
        <v>3358</v>
      </c>
      <c r="C588" s="235"/>
      <c r="D588" s="235" t="str">
        <f t="shared" si="13"/>
        <v>NACE G - 47.24 Retail sale of bread, cake and confectionery</v>
      </c>
      <c r="K588" t="s">
        <v>3359</v>
      </c>
    </row>
    <row r="589" spans="1:11" x14ac:dyDescent="0.25">
      <c r="A589" s="235" t="s">
        <v>3360</v>
      </c>
      <c r="B589" t="s">
        <v>3361</v>
      </c>
      <c r="C589" s="235"/>
      <c r="D589" s="235" t="str">
        <f t="shared" si="13"/>
        <v>NACE G - 47.25 Retail sale of beverages</v>
      </c>
      <c r="K589" t="s">
        <v>3362</v>
      </c>
    </row>
    <row r="590" spans="1:11" x14ac:dyDescent="0.25">
      <c r="A590" s="235" t="s">
        <v>3363</v>
      </c>
      <c r="B590" t="s">
        <v>3364</v>
      </c>
      <c r="C590" s="235"/>
      <c r="D590" s="235" t="str">
        <f t="shared" si="13"/>
        <v>NACE G - 47.26 Retail sale of tobacco products</v>
      </c>
      <c r="K590" t="s">
        <v>3365</v>
      </c>
    </row>
    <row r="591" spans="1:11" x14ac:dyDescent="0.25">
      <c r="A591" s="235" t="s">
        <v>3366</v>
      </c>
      <c r="B591" t="s">
        <v>3367</v>
      </c>
      <c r="C591" s="235"/>
      <c r="D591" s="235" t="str">
        <f t="shared" si="13"/>
        <v>NACE G - 47.27 Retail sale of other food</v>
      </c>
      <c r="K591" t="s">
        <v>3368</v>
      </c>
    </row>
    <row r="592" spans="1:11" x14ac:dyDescent="0.25">
      <c r="A592" s="234" t="s">
        <v>3369</v>
      </c>
      <c r="B592" t="s">
        <v>3370</v>
      </c>
      <c r="C592" s="235"/>
      <c r="D592" s="234" t="str">
        <f t="shared" si="13"/>
        <v>NACE G - 47.3 Retail sale of automotive fuel</v>
      </c>
      <c r="K592" t="s">
        <v>3371</v>
      </c>
    </row>
    <row r="593" spans="1:11" x14ac:dyDescent="0.25">
      <c r="A593" s="235" t="s">
        <v>3372</v>
      </c>
      <c r="B593" t="s">
        <v>3373</v>
      </c>
      <c r="C593" s="235"/>
      <c r="D593" s="235" t="str">
        <f t="shared" si="13"/>
        <v>NACE G - 47.30 Retail sale of automotive fuel</v>
      </c>
      <c r="K593" t="s">
        <v>3374</v>
      </c>
    </row>
    <row r="594" spans="1:11" x14ac:dyDescent="0.25">
      <c r="A594" s="234" t="s">
        <v>3375</v>
      </c>
      <c r="B594" t="s">
        <v>3376</v>
      </c>
      <c r="C594" s="235"/>
      <c r="D594" s="234" t="str">
        <f t="shared" si="13"/>
        <v>NACE G - 47.4 Retail sale of information and communication equipment</v>
      </c>
      <c r="K594" t="s">
        <v>3377</v>
      </c>
    </row>
    <row r="595" spans="1:11" x14ac:dyDescent="0.25">
      <c r="A595" s="235" t="s">
        <v>3378</v>
      </c>
      <c r="B595" t="s">
        <v>3379</v>
      </c>
      <c r="C595" s="235"/>
      <c r="D595" s="235" t="str">
        <f t="shared" si="13"/>
        <v>NACE G - 47.40 Retail sale of information and communication equipment</v>
      </c>
      <c r="K595" t="s">
        <v>3380</v>
      </c>
    </row>
    <row r="596" spans="1:11" x14ac:dyDescent="0.25">
      <c r="A596" s="234" t="s">
        <v>3381</v>
      </c>
      <c r="B596" t="s">
        <v>3382</v>
      </c>
      <c r="C596" s="235"/>
      <c r="D596" s="234" t="str">
        <f t="shared" si="13"/>
        <v>NACE G - 47.5 Retail sale of other household equipment</v>
      </c>
      <c r="K596" t="s">
        <v>3383</v>
      </c>
    </row>
    <row r="597" spans="1:11" x14ac:dyDescent="0.25">
      <c r="A597" s="235" t="s">
        <v>3384</v>
      </c>
      <c r="B597" t="s">
        <v>3385</v>
      </c>
      <c r="C597" s="235"/>
      <c r="D597" s="235" t="str">
        <f t="shared" si="13"/>
        <v>NACE G - 47.51 Retail sale of textiles</v>
      </c>
      <c r="K597" t="s">
        <v>3386</v>
      </c>
    </row>
    <row r="598" spans="1:11" x14ac:dyDescent="0.25">
      <c r="A598" s="235" t="s">
        <v>3387</v>
      </c>
      <c r="B598" t="s">
        <v>3388</v>
      </c>
      <c r="C598" s="235"/>
      <c r="D598" s="235" t="str">
        <f t="shared" si="13"/>
        <v>NACE G - 47.52 Retail sale of hardware, building materials, paints and glass</v>
      </c>
      <c r="K598" t="s">
        <v>3389</v>
      </c>
    </row>
    <row r="599" spans="1:11" x14ac:dyDescent="0.25">
      <c r="A599" s="235" t="s">
        <v>3390</v>
      </c>
      <c r="B599" t="s">
        <v>3391</v>
      </c>
      <c r="C599" s="235"/>
      <c r="D599" s="235" t="str">
        <f t="shared" si="13"/>
        <v>NACE G - 47.53 Retail sale of carpets, rugs, wall and floor coverings</v>
      </c>
      <c r="K599" t="s">
        <v>3392</v>
      </c>
    </row>
    <row r="600" spans="1:11" x14ac:dyDescent="0.25">
      <c r="A600" s="235" t="s">
        <v>3393</v>
      </c>
      <c r="B600" t="s">
        <v>3394</v>
      </c>
      <c r="C600" s="235"/>
      <c r="D600" s="235" t="str">
        <f t="shared" si="13"/>
        <v>NACE G - 47.54 Retail sale of electrical household appliances</v>
      </c>
      <c r="K600" t="s">
        <v>3395</v>
      </c>
    </row>
    <row r="601" spans="1:11" x14ac:dyDescent="0.25">
      <c r="A601" s="235" t="s">
        <v>3396</v>
      </c>
      <c r="B601" t="s">
        <v>3397</v>
      </c>
      <c r="C601" s="235"/>
      <c r="D601" s="235" t="str">
        <f t="shared" si="13"/>
        <v>NACE G - 47.55 Retail sale of furniture, lighting equipment, tableware and other household goods</v>
      </c>
      <c r="K601" t="s">
        <v>3398</v>
      </c>
    </row>
    <row r="602" spans="1:11" x14ac:dyDescent="0.25">
      <c r="A602" s="234" t="s">
        <v>3399</v>
      </c>
      <c r="B602" t="s">
        <v>3400</v>
      </c>
      <c r="C602" s="235"/>
      <c r="D602" s="234" t="str">
        <f t="shared" si="13"/>
        <v>NACE G - 47.6 Retail sale of cultural and recreation goods</v>
      </c>
      <c r="K602" t="s">
        <v>3401</v>
      </c>
    </row>
    <row r="603" spans="1:11" x14ac:dyDescent="0.25">
      <c r="A603" s="235" t="s">
        <v>3402</v>
      </c>
      <c r="B603" t="s">
        <v>3403</v>
      </c>
      <c r="C603" s="235"/>
      <c r="D603" s="235" t="str">
        <f t="shared" si="13"/>
        <v>NACE G - 47.61 Retail sale of books</v>
      </c>
      <c r="K603" t="s">
        <v>3404</v>
      </c>
    </row>
    <row r="604" spans="1:11" x14ac:dyDescent="0.25">
      <c r="A604" s="235" t="s">
        <v>3405</v>
      </c>
      <c r="B604" t="s">
        <v>3406</v>
      </c>
      <c r="C604" s="235"/>
      <c r="D604" s="235" t="str">
        <f t="shared" si="13"/>
        <v>NACE G - 47.62 Retail sale of newspapers, and other periodical publications and stationery</v>
      </c>
      <c r="K604" t="s">
        <v>3407</v>
      </c>
    </row>
    <row r="605" spans="1:11" x14ac:dyDescent="0.25">
      <c r="A605" s="235" t="s">
        <v>3408</v>
      </c>
      <c r="B605" t="s">
        <v>3409</v>
      </c>
      <c r="C605" s="235"/>
      <c r="D605" s="235" t="str">
        <f t="shared" si="13"/>
        <v>NACE G - 47.63 Retail sale of sporting equipment</v>
      </c>
      <c r="K605" t="s">
        <v>3410</v>
      </c>
    </row>
    <row r="606" spans="1:11" x14ac:dyDescent="0.25">
      <c r="A606" s="235" t="s">
        <v>3411</v>
      </c>
      <c r="B606" t="s">
        <v>3412</v>
      </c>
      <c r="C606" s="235"/>
      <c r="D606" s="235" t="str">
        <f t="shared" si="13"/>
        <v>NACE G - 47.64 Retail sale of games and toys</v>
      </c>
      <c r="K606" t="s">
        <v>3413</v>
      </c>
    </row>
    <row r="607" spans="1:11" x14ac:dyDescent="0.25">
      <c r="A607" s="235" t="s">
        <v>3414</v>
      </c>
      <c r="B607" t="s">
        <v>3415</v>
      </c>
      <c r="C607" s="235"/>
      <c r="D607" s="235" t="str">
        <f t="shared" si="13"/>
        <v>NACE G - 47.69 Retail sale of cultural and recreational goods n.e.c.</v>
      </c>
      <c r="K607" t="s">
        <v>3416</v>
      </c>
    </row>
    <row r="608" spans="1:11" x14ac:dyDescent="0.25">
      <c r="A608" s="234" t="s">
        <v>3417</v>
      </c>
      <c r="B608" t="s">
        <v>3418</v>
      </c>
      <c r="C608" s="235"/>
      <c r="D608" s="234" t="str">
        <f t="shared" si="13"/>
        <v>NACE G - 47.7 Retail sale of other goods, except motor vehicles and motorcycles</v>
      </c>
      <c r="K608" t="s">
        <v>3419</v>
      </c>
    </row>
    <row r="609" spans="1:11" x14ac:dyDescent="0.25">
      <c r="A609" s="235" t="s">
        <v>3420</v>
      </c>
      <c r="B609" t="s">
        <v>3421</v>
      </c>
      <c r="C609" s="235"/>
      <c r="D609" s="235" t="str">
        <f t="shared" si="13"/>
        <v>NACE G - 47.71 Retail sale of clothing</v>
      </c>
      <c r="K609" t="s">
        <v>3422</v>
      </c>
    </row>
    <row r="610" spans="1:11" x14ac:dyDescent="0.25">
      <c r="A610" s="235" t="s">
        <v>3423</v>
      </c>
      <c r="B610" t="s">
        <v>3424</v>
      </c>
      <c r="C610" s="235"/>
      <c r="D610" s="235" t="str">
        <f t="shared" si="13"/>
        <v>NACE G - 47.72 Retail sale of footwear and leather goods</v>
      </c>
      <c r="K610" t="s">
        <v>3425</v>
      </c>
    </row>
    <row r="611" spans="1:11" x14ac:dyDescent="0.25">
      <c r="A611" s="235" t="s">
        <v>3426</v>
      </c>
      <c r="B611" t="s">
        <v>3427</v>
      </c>
      <c r="C611" s="235"/>
      <c r="D611" s="235" t="str">
        <f t="shared" si="13"/>
        <v>NACE G - 47.73 Retail sale of pharmaceutical products</v>
      </c>
      <c r="K611" t="s">
        <v>3428</v>
      </c>
    </row>
    <row r="612" spans="1:11" x14ac:dyDescent="0.25">
      <c r="A612" s="235" t="s">
        <v>3429</v>
      </c>
      <c r="B612" t="s">
        <v>3430</v>
      </c>
      <c r="C612" s="235"/>
      <c r="D612" s="235" t="str">
        <f t="shared" si="13"/>
        <v>NACE G - 47.74 Retail sale of medical and orthopaedic goods</v>
      </c>
      <c r="K612" t="s">
        <v>3431</v>
      </c>
    </row>
    <row r="613" spans="1:11" x14ac:dyDescent="0.25">
      <c r="A613" s="235" t="s">
        <v>3432</v>
      </c>
      <c r="B613" t="s">
        <v>3433</v>
      </c>
      <c r="C613" s="235"/>
      <c r="D613" s="235" t="str">
        <f t="shared" si="13"/>
        <v>NACE G - 47.75 Retail sale of cosmetic and toilet articles</v>
      </c>
      <c r="K613" t="s">
        <v>3434</v>
      </c>
    </row>
    <row r="614" spans="1:11" x14ac:dyDescent="0.25">
      <c r="A614" s="235" t="s">
        <v>3435</v>
      </c>
      <c r="B614" t="s">
        <v>3436</v>
      </c>
      <c r="C614" s="235"/>
      <c r="D614" s="235" t="str">
        <f t="shared" si="13"/>
        <v>NACE G - 47.76 Retail sale of flowers, plants, fertilisers, pets and pet food</v>
      </c>
      <c r="K614" t="s">
        <v>3437</v>
      </c>
    </row>
    <row r="615" spans="1:11" x14ac:dyDescent="0.25">
      <c r="A615" s="235" t="s">
        <v>3438</v>
      </c>
      <c r="B615" t="s">
        <v>3439</v>
      </c>
      <c r="C615" s="235"/>
      <c r="D615" s="235" t="str">
        <f t="shared" si="13"/>
        <v>NACE G - 47.77 Retail sale of watches and jewellery</v>
      </c>
      <c r="K615" t="s">
        <v>3440</v>
      </c>
    </row>
    <row r="616" spans="1:11" x14ac:dyDescent="0.25">
      <c r="A616" s="235" t="s">
        <v>3441</v>
      </c>
      <c r="B616" t="s">
        <v>3442</v>
      </c>
      <c r="C616" s="235"/>
      <c r="D616" s="235" t="str">
        <f t="shared" si="13"/>
        <v>NACE G - 47.78 Retail sale of other new goods</v>
      </c>
      <c r="K616" t="s">
        <v>3443</v>
      </c>
    </row>
    <row r="617" spans="1:11" x14ac:dyDescent="0.25">
      <c r="A617" s="235" t="s">
        <v>3444</v>
      </c>
      <c r="B617" t="s">
        <v>3445</v>
      </c>
      <c r="C617" s="235"/>
      <c r="D617" s="235" t="str">
        <f t="shared" si="13"/>
        <v>NACE G - 47.79 Retail sale of second-hand goods</v>
      </c>
      <c r="K617" t="s">
        <v>3446</v>
      </c>
    </row>
    <row r="618" spans="1:11" x14ac:dyDescent="0.25">
      <c r="A618" s="234" t="s">
        <v>3447</v>
      </c>
      <c r="B618" t="s">
        <v>3448</v>
      </c>
      <c r="C618" s="235"/>
      <c r="D618" s="234" t="str">
        <f t="shared" si="13"/>
        <v>NACE G - 47.8 Retail sale of motor vehicles, motorcycles and related parts and accessories</v>
      </c>
      <c r="K618" t="s">
        <v>3449</v>
      </c>
    </row>
    <row r="619" spans="1:11" x14ac:dyDescent="0.25">
      <c r="A619" s="235" t="s">
        <v>3450</v>
      </c>
      <c r="B619" t="s">
        <v>3451</v>
      </c>
      <c r="C619" s="235"/>
      <c r="D619" s="235" t="str">
        <f t="shared" si="13"/>
        <v>NACE G - 47.81 Retail sale of motor vehicles</v>
      </c>
      <c r="K619" t="s">
        <v>3452</v>
      </c>
    </row>
    <row r="620" spans="1:11" x14ac:dyDescent="0.25">
      <c r="A620" s="235" t="s">
        <v>3453</v>
      </c>
      <c r="B620" t="s">
        <v>3454</v>
      </c>
      <c r="C620" s="235"/>
      <c r="D620" s="235" t="str">
        <f t="shared" si="13"/>
        <v>NACE G - 47.82 Retail sale of motor vehicle parts and accessories</v>
      </c>
      <c r="K620" t="s">
        <v>3455</v>
      </c>
    </row>
    <row r="621" spans="1:11" x14ac:dyDescent="0.25">
      <c r="A621" s="235" t="s">
        <v>3456</v>
      </c>
      <c r="B621" t="s">
        <v>3457</v>
      </c>
      <c r="C621" s="235"/>
      <c r="D621" s="235" t="str">
        <f t="shared" si="13"/>
        <v>NACE G - 47.83 Retail sale of motorcycles, motorcycle parts and accessories</v>
      </c>
      <c r="K621" t="s">
        <v>3458</v>
      </c>
    </row>
    <row r="622" spans="1:11" x14ac:dyDescent="0.25">
      <c r="A622" s="234" t="s">
        <v>3459</v>
      </c>
      <c r="B622" t="s">
        <v>3460</v>
      </c>
      <c r="C622" s="235"/>
      <c r="D622" s="234" t="str">
        <f t="shared" si="13"/>
        <v>NACE G - 47.9 Intermediation service activities for retail sale</v>
      </c>
      <c r="K622" t="s">
        <v>3461</v>
      </c>
    </row>
    <row r="623" spans="1:11" x14ac:dyDescent="0.25">
      <c r="A623" s="235" t="s">
        <v>3462</v>
      </c>
      <c r="B623" t="s">
        <v>3463</v>
      </c>
      <c r="C623" s="235"/>
      <c r="D623" s="235" t="str">
        <f t="shared" si="13"/>
        <v>NACE G - 47.91 Intermediation service activities for non-specialised retail sale</v>
      </c>
      <c r="K623" t="s">
        <v>3464</v>
      </c>
    </row>
    <row r="624" spans="1:11" x14ac:dyDescent="0.25">
      <c r="A624" s="235" t="s">
        <v>3465</v>
      </c>
      <c r="B624" t="s">
        <v>3466</v>
      </c>
      <c r="C624" s="235"/>
      <c r="D624" s="235" t="str">
        <f t="shared" si="13"/>
        <v>NACE G - 47.92 Intermediation service activities for specialised retail sale</v>
      </c>
      <c r="K624" t="s">
        <v>3467</v>
      </c>
    </row>
    <row r="625" spans="1:11" x14ac:dyDescent="0.25">
      <c r="A625" s="232" t="s">
        <v>3468</v>
      </c>
      <c r="B625" t="s">
        <v>3469</v>
      </c>
      <c r="C625" s="235"/>
      <c r="D625" s="232" t="str">
        <f t="shared" si="13"/>
        <v>NACE H - TRANSPORTATION AND STORAGE</v>
      </c>
      <c r="K625" t="s">
        <v>3470</v>
      </c>
    </row>
    <row r="626" spans="1:11" x14ac:dyDescent="0.25">
      <c r="A626" s="231" t="s">
        <v>3471</v>
      </c>
      <c r="B626" t="s">
        <v>3472</v>
      </c>
      <c r="C626" s="235"/>
      <c r="D626" s="231" t="str">
        <f t="shared" si="13"/>
        <v>NACE H - 49 Land transport and transport via pipelines</v>
      </c>
      <c r="K626" t="s">
        <v>3473</v>
      </c>
    </row>
    <row r="627" spans="1:11" x14ac:dyDescent="0.25">
      <c r="A627" s="234" t="s">
        <v>3474</v>
      </c>
      <c r="B627" t="s">
        <v>3475</v>
      </c>
      <c r="C627" s="235"/>
      <c r="D627" s="234" t="str">
        <f t="shared" si="13"/>
        <v>NACE H - 49.1 Passenger rail transport</v>
      </c>
      <c r="K627" t="s">
        <v>3476</v>
      </c>
    </row>
    <row r="628" spans="1:11" x14ac:dyDescent="0.25">
      <c r="A628" s="235" t="s">
        <v>3477</v>
      </c>
      <c r="B628" t="s">
        <v>3478</v>
      </c>
      <c r="C628" s="235"/>
      <c r="D628" s="235" t="str">
        <f t="shared" si="13"/>
        <v>NACE H - 49.11 Passenger heavy rail transport</v>
      </c>
      <c r="K628" t="s">
        <v>3479</v>
      </c>
    </row>
    <row r="629" spans="1:11" x14ac:dyDescent="0.25">
      <c r="A629" s="235" t="s">
        <v>3480</v>
      </c>
      <c r="B629" t="s">
        <v>3481</v>
      </c>
      <c r="C629" s="235"/>
      <c r="D629" s="235" t="str">
        <f t="shared" si="13"/>
        <v>NACE H - 49.12 Other passenger rail transport</v>
      </c>
      <c r="K629" t="s">
        <v>3482</v>
      </c>
    </row>
    <row r="630" spans="1:11" x14ac:dyDescent="0.25">
      <c r="A630" s="234" t="s">
        <v>3483</v>
      </c>
      <c r="B630" t="s">
        <v>3484</v>
      </c>
      <c r="C630" s="235"/>
      <c r="D630" s="234" t="str">
        <f t="shared" si="13"/>
        <v>NACE H - 49.2 Freight rail transport</v>
      </c>
      <c r="K630" t="s">
        <v>3485</v>
      </c>
    </row>
    <row r="631" spans="1:11" x14ac:dyDescent="0.25">
      <c r="A631" s="235" t="s">
        <v>3486</v>
      </c>
      <c r="B631" t="s">
        <v>3487</v>
      </c>
      <c r="C631" s="235"/>
      <c r="D631" s="235" t="str">
        <f t="shared" si="13"/>
        <v>NACE H - 49.20 Freight rail transport</v>
      </c>
      <c r="K631" t="s">
        <v>3488</v>
      </c>
    </row>
    <row r="632" spans="1:11" x14ac:dyDescent="0.25">
      <c r="A632" s="234" t="s">
        <v>3489</v>
      </c>
      <c r="B632" t="s">
        <v>3490</v>
      </c>
      <c r="C632" s="235"/>
      <c r="D632" s="234" t="str">
        <f t="shared" si="13"/>
        <v>NACE H - 49.3 Other passenger land transport</v>
      </c>
      <c r="K632" t="s">
        <v>3491</v>
      </c>
    </row>
    <row r="633" spans="1:11" x14ac:dyDescent="0.25">
      <c r="A633" s="235" t="s">
        <v>3492</v>
      </c>
      <c r="B633" t="s">
        <v>3493</v>
      </c>
      <c r="C633" s="235"/>
      <c r="D633" s="235" t="str">
        <f t="shared" si="13"/>
        <v>NACE H - 49.31 Scheduled passenger transport by road</v>
      </c>
      <c r="K633" t="s">
        <v>3494</v>
      </c>
    </row>
    <row r="634" spans="1:11" x14ac:dyDescent="0.25">
      <c r="A634" s="235" t="s">
        <v>3495</v>
      </c>
      <c r="B634" t="s">
        <v>3496</v>
      </c>
      <c r="C634" s="235"/>
      <c r="D634" s="235" t="str">
        <f t="shared" si="13"/>
        <v>NACE H - 49.32 Non-scheduled passenger transport by road</v>
      </c>
      <c r="K634" t="s">
        <v>3497</v>
      </c>
    </row>
    <row r="635" spans="1:11" x14ac:dyDescent="0.25">
      <c r="A635" s="235" t="s">
        <v>3498</v>
      </c>
      <c r="B635" t="s">
        <v>3499</v>
      </c>
      <c r="C635" s="235"/>
      <c r="D635" s="235" t="str">
        <f t="shared" si="13"/>
        <v>NACE H - 49.33 On-demand passenger transport service activities by vehicle with driver</v>
      </c>
      <c r="K635" t="s">
        <v>3500</v>
      </c>
    </row>
    <row r="636" spans="1:11" x14ac:dyDescent="0.25">
      <c r="A636" s="235" t="s">
        <v>3501</v>
      </c>
      <c r="B636" t="s">
        <v>3502</v>
      </c>
      <c r="C636" s="235"/>
      <c r="D636" s="235" t="str">
        <f t="shared" si="13"/>
        <v>NACE H - 49.34 Passenger transport by cableways and ski lifts</v>
      </c>
      <c r="K636" t="s">
        <v>3503</v>
      </c>
    </row>
    <row r="637" spans="1:11" x14ac:dyDescent="0.25">
      <c r="A637" s="235" t="s">
        <v>3504</v>
      </c>
      <c r="B637" t="s">
        <v>3505</v>
      </c>
      <c r="C637" s="235"/>
      <c r="D637" s="235" t="str">
        <f t="shared" si="13"/>
        <v>NACE H - 49.39 Other passenger land transport n.e.c.</v>
      </c>
      <c r="K637" t="s">
        <v>3506</v>
      </c>
    </row>
    <row r="638" spans="1:11" x14ac:dyDescent="0.25">
      <c r="A638" s="234" t="s">
        <v>3507</v>
      </c>
      <c r="B638" t="s">
        <v>3508</v>
      </c>
      <c r="C638" s="235"/>
      <c r="D638" s="234" t="str">
        <f t="shared" si="13"/>
        <v>NACE H - 49.4 Freight transport by road and removal services</v>
      </c>
      <c r="K638" t="s">
        <v>3509</v>
      </c>
    </row>
    <row r="639" spans="1:11" x14ac:dyDescent="0.25">
      <c r="A639" s="235" t="s">
        <v>3510</v>
      </c>
      <c r="B639" t="s">
        <v>3511</v>
      </c>
      <c r="C639" s="235"/>
      <c r="D639" s="235" t="str">
        <f t="shared" si="13"/>
        <v>NACE H - 49.41 Freight transport by road</v>
      </c>
      <c r="K639" t="s">
        <v>3512</v>
      </c>
    </row>
    <row r="640" spans="1:11" x14ac:dyDescent="0.25">
      <c r="A640" s="235" t="s">
        <v>3513</v>
      </c>
      <c r="B640" t="s">
        <v>3514</v>
      </c>
      <c r="C640" s="235"/>
      <c r="D640" s="235" t="str">
        <f t="shared" si="13"/>
        <v>NACE H - 49.42 Removal services</v>
      </c>
      <c r="K640" t="s">
        <v>3515</v>
      </c>
    </row>
    <row r="641" spans="1:11" x14ac:dyDescent="0.25">
      <c r="A641" s="234" t="s">
        <v>3516</v>
      </c>
      <c r="B641" t="s">
        <v>3517</v>
      </c>
      <c r="C641" s="235"/>
      <c r="D641" s="234" t="str">
        <f t="shared" si="13"/>
        <v>NACE H - 49.5 Transport via pipeline</v>
      </c>
      <c r="K641" t="s">
        <v>3518</v>
      </c>
    </row>
    <row r="642" spans="1:11" x14ac:dyDescent="0.25">
      <c r="A642" s="235" t="s">
        <v>3519</v>
      </c>
      <c r="B642" t="s">
        <v>3520</v>
      </c>
      <c r="C642" s="235"/>
      <c r="D642" s="235" t="str">
        <f t="shared" ref="D642:D705" si="14">_xlfn.CONCAT("NACE ", A642)</f>
        <v>NACE H - 49.50 Transport via pipeline</v>
      </c>
      <c r="K642" t="s">
        <v>3521</v>
      </c>
    </row>
    <row r="643" spans="1:11" x14ac:dyDescent="0.25">
      <c r="A643" s="231" t="s">
        <v>3522</v>
      </c>
      <c r="B643" t="s">
        <v>3523</v>
      </c>
      <c r="C643" s="235"/>
      <c r="D643" s="231" t="str">
        <f t="shared" si="14"/>
        <v>NACE H - 50 Water transport</v>
      </c>
      <c r="K643" t="s">
        <v>3524</v>
      </c>
    </row>
    <row r="644" spans="1:11" x14ac:dyDescent="0.25">
      <c r="A644" s="234" t="s">
        <v>3525</v>
      </c>
      <c r="B644" t="s">
        <v>3526</v>
      </c>
      <c r="C644" s="235"/>
      <c r="D644" s="234" t="str">
        <f t="shared" si="14"/>
        <v>NACE H - 50.1 Sea and coastal passenger water transport</v>
      </c>
      <c r="K644" t="s">
        <v>3527</v>
      </c>
    </row>
    <row r="645" spans="1:11" x14ac:dyDescent="0.25">
      <c r="A645" s="235" t="s">
        <v>3528</v>
      </c>
      <c r="B645" t="s">
        <v>3529</v>
      </c>
      <c r="C645" s="235"/>
      <c r="D645" s="235" t="str">
        <f t="shared" si="14"/>
        <v>NACE H - 50.10 Sea and coastal passenger water transport</v>
      </c>
      <c r="K645" t="s">
        <v>3530</v>
      </c>
    </row>
    <row r="646" spans="1:11" x14ac:dyDescent="0.25">
      <c r="A646" s="234" t="s">
        <v>3531</v>
      </c>
      <c r="B646" t="s">
        <v>3532</v>
      </c>
      <c r="C646" s="235"/>
      <c r="D646" s="234" t="str">
        <f t="shared" si="14"/>
        <v>NACE H - 50.2 Sea and coastal freight water transport</v>
      </c>
      <c r="K646" t="s">
        <v>3533</v>
      </c>
    </row>
    <row r="647" spans="1:11" x14ac:dyDescent="0.25">
      <c r="A647" s="235" t="s">
        <v>3534</v>
      </c>
      <c r="B647" t="s">
        <v>3535</v>
      </c>
      <c r="C647" s="235"/>
      <c r="D647" s="235" t="str">
        <f t="shared" si="14"/>
        <v>NACE H - 50.20 Sea and coastal freight water transport</v>
      </c>
      <c r="K647" t="s">
        <v>3536</v>
      </c>
    </row>
    <row r="648" spans="1:11" x14ac:dyDescent="0.25">
      <c r="A648" s="234" t="s">
        <v>3537</v>
      </c>
      <c r="B648" t="s">
        <v>3538</v>
      </c>
      <c r="C648" s="235"/>
      <c r="D648" s="234" t="str">
        <f t="shared" si="14"/>
        <v>NACE H - 50.3 Inland passenger water transport</v>
      </c>
      <c r="K648" t="s">
        <v>3539</v>
      </c>
    </row>
    <row r="649" spans="1:11" x14ac:dyDescent="0.25">
      <c r="A649" s="235" t="s">
        <v>3540</v>
      </c>
      <c r="B649" t="s">
        <v>3541</v>
      </c>
      <c r="C649" s="235"/>
      <c r="D649" s="235" t="str">
        <f t="shared" si="14"/>
        <v>NACE H - 50.30 Inland passenger water transport</v>
      </c>
      <c r="K649" t="s">
        <v>3542</v>
      </c>
    </row>
    <row r="650" spans="1:11" x14ac:dyDescent="0.25">
      <c r="A650" s="234" t="s">
        <v>3543</v>
      </c>
      <c r="B650" t="s">
        <v>3544</v>
      </c>
      <c r="C650" s="235"/>
      <c r="D650" s="234" t="str">
        <f t="shared" si="14"/>
        <v>NACE H - 50.4 Inland freight water transport</v>
      </c>
      <c r="K650" t="s">
        <v>3545</v>
      </c>
    </row>
    <row r="651" spans="1:11" x14ac:dyDescent="0.25">
      <c r="A651" s="235" t="s">
        <v>3546</v>
      </c>
      <c r="B651" t="s">
        <v>3547</v>
      </c>
      <c r="C651" s="235"/>
      <c r="D651" s="235" t="str">
        <f t="shared" si="14"/>
        <v>NACE H - 50.40 Inland freight water transport</v>
      </c>
      <c r="K651" t="s">
        <v>3548</v>
      </c>
    </row>
    <row r="652" spans="1:11" x14ac:dyDescent="0.25">
      <c r="A652" s="231" t="s">
        <v>3549</v>
      </c>
      <c r="B652" t="s">
        <v>3550</v>
      </c>
      <c r="C652" s="235"/>
      <c r="D652" s="231" t="str">
        <f t="shared" si="14"/>
        <v>NACE H - 51 Air transport</v>
      </c>
      <c r="K652" t="s">
        <v>3551</v>
      </c>
    </row>
    <row r="653" spans="1:11" x14ac:dyDescent="0.25">
      <c r="A653" s="234" t="s">
        <v>3552</v>
      </c>
      <c r="B653" t="s">
        <v>3553</v>
      </c>
      <c r="C653" s="235"/>
      <c r="D653" s="234" t="str">
        <f t="shared" si="14"/>
        <v>NACE H - 51.1 Passenger air transport</v>
      </c>
      <c r="K653" t="s">
        <v>3554</v>
      </c>
    </row>
    <row r="654" spans="1:11" x14ac:dyDescent="0.25">
      <c r="A654" s="235" t="s">
        <v>3555</v>
      </c>
      <c r="B654" t="s">
        <v>3556</v>
      </c>
      <c r="C654" s="235"/>
      <c r="D654" s="235" t="str">
        <f t="shared" si="14"/>
        <v>NACE H - 51.10 Passenger air transport</v>
      </c>
      <c r="K654" t="s">
        <v>3557</v>
      </c>
    </row>
    <row r="655" spans="1:11" x14ac:dyDescent="0.25">
      <c r="A655" s="234" t="s">
        <v>3558</v>
      </c>
      <c r="B655" t="s">
        <v>3559</v>
      </c>
      <c r="C655" s="235"/>
      <c r="D655" s="234" t="str">
        <f t="shared" si="14"/>
        <v>NACE H - 51.2 Freight air transport and space transport</v>
      </c>
      <c r="K655" t="s">
        <v>134</v>
      </c>
    </row>
    <row r="656" spans="1:11" x14ac:dyDescent="0.25">
      <c r="A656" s="235" t="s">
        <v>3560</v>
      </c>
      <c r="B656" t="s">
        <v>3561</v>
      </c>
      <c r="C656" s="235"/>
      <c r="D656" s="235" t="str">
        <f t="shared" si="14"/>
        <v>NACE H - 51.21 Freight air transport</v>
      </c>
      <c r="K656" t="s">
        <v>135</v>
      </c>
    </row>
    <row r="657" spans="1:11" x14ac:dyDescent="0.25">
      <c r="A657" s="235" t="s">
        <v>3562</v>
      </c>
      <c r="B657" t="s">
        <v>3563</v>
      </c>
      <c r="C657" s="235"/>
      <c r="D657" s="235" t="str">
        <f t="shared" si="14"/>
        <v>NACE H - 51.22 Space transport</v>
      </c>
      <c r="K657" t="s">
        <v>139</v>
      </c>
    </row>
    <row r="658" spans="1:11" x14ac:dyDescent="0.25">
      <c r="A658" s="231" t="s">
        <v>3564</v>
      </c>
      <c r="B658" t="s">
        <v>3565</v>
      </c>
      <c r="C658" s="235"/>
      <c r="D658" s="231" t="str">
        <f t="shared" si="14"/>
        <v>NACE H - 52 Warehousing, storage and support activities for transportation</v>
      </c>
      <c r="K658" t="s">
        <v>3566</v>
      </c>
    </row>
    <row r="659" spans="1:11" x14ac:dyDescent="0.25">
      <c r="A659" s="234" t="s">
        <v>3567</v>
      </c>
      <c r="B659" t="s">
        <v>3568</v>
      </c>
      <c r="C659" s="235"/>
      <c r="D659" s="234" t="str">
        <f t="shared" si="14"/>
        <v>NACE H - 52.1 Warehousing and storage</v>
      </c>
      <c r="K659" t="s">
        <v>3569</v>
      </c>
    </row>
    <row r="660" spans="1:11" x14ac:dyDescent="0.25">
      <c r="A660" s="235" t="s">
        <v>3570</v>
      </c>
      <c r="B660" t="s">
        <v>3571</v>
      </c>
      <c r="C660" s="235"/>
      <c r="D660" s="235" t="str">
        <f t="shared" si="14"/>
        <v>NACE H - 52.10 Warehousing and storage</v>
      </c>
      <c r="K660" t="s">
        <v>3572</v>
      </c>
    </row>
    <row r="661" spans="1:11" x14ac:dyDescent="0.25">
      <c r="A661" s="234" t="s">
        <v>3573</v>
      </c>
      <c r="B661" t="s">
        <v>3574</v>
      </c>
      <c r="C661" s="235"/>
      <c r="D661" s="234" t="str">
        <f t="shared" si="14"/>
        <v>NACE H - 52.2 Support activities for transportation</v>
      </c>
      <c r="K661" t="s">
        <v>3575</v>
      </c>
    </row>
    <row r="662" spans="1:11" x14ac:dyDescent="0.25">
      <c r="A662" s="235" t="s">
        <v>3576</v>
      </c>
      <c r="B662" t="s">
        <v>3577</v>
      </c>
      <c r="C662" s="235"/>
      <c r="D662" s="235" t="str">
        <f t="shared" si="14"/>
        <v>NACE H - 52.21 Service activities incidental to land transportation</v>
      </c>
      <c r="K662" t="s">
        <v>3578</v>
      </c>
    </row>
    <row r="663" spans="1:11" x14ac:dyDescent="0.25">
      <c r="A663" s="235" t="s">
        <v>3579</v>
      </c>
      <c r="B663" t="s">
        <v>3580</v>
      </c>
      <c r="C663" s="235"/>
      <c r="D663" s="235" t="str">
        <f t="shared" si="14"/>
        <v>NACE H - 52.22 Service activities incidental to water transportation</v>
      </c>
      <c r="K663" t="s">
        <v>3581</v>
      </c>
    </row>
    <row r="664" spans="1:11" x14ac:dyDescent="0.25">
      <c r="A664" s="235" t="s">
        <v>3582</v>
      </c>
      <c r="B664" t="s">
        <v>3583</v>
      </c>
      <c r="C664" s="235"/>
      <c r="D664" s="235" t="str">
        <f t="shared" si="14"/>
        <v>NACE H - 52.23 Service activities incidental to air transportation</v>
      </c>
      <c r="K664" t="s">
        <v>3584</v>
      </c>
    </row>
    <row r="665" spans="1:11" x14ac:dyDescent="0.25">
      <c r="A665" s="235" t="s">
        <v>3585</v>
      </c>
      <c r="B665" t="s">
        <v>3586</v>
      </c>
      <c r="C665" s="235"/>
      <c r="D665" s="235" t="str">
        <f t="shared" si="14"/>
        <v>NACE H - 52.24 Cargo handling</v>
      </c>
      <c r="K665" t="s">
        <v>3587</v>
      </c>
    </row>
    <row r="666" spans="1:11" x14ac:dyDescent="0.25">
      <c r="A666" s="235" t="s">
        <v>3588</v>
      </c>
      <c r="B666" t="s">
        <v>3589</v>
      </c>
      <c r="C666" s="235"/>
      <c r="D666" s="235" t="str">
        <f t="shared" si="14"/>
        <v>NACE H - 52.25 Logistics service activities</v>
      </c>
      <c r="K666" t="s">
        <v>3590</v>
      </c>
    </row>
    <row r="667" spans="1:11" x14ac:dyDescent="0.25">
      <c r="A667" s="235" t="s">
        <v>3591</v>
      </c>
      <c r="B667" t="s">
        <v>3592</v>
      </c>
      <c r="C667" s="235"/>
      <c r="D667" s="235" t="str">
        <f t="shared" si="14"/>
        <v>NACE H - 52.26 Other support activities for transportation</v>
      </c>
      <c r="K667" t="s">
        <v>3593</v>
      </c>
    </row>
    <row r="668" spans="1:11" x14ac:dyDescent="0.25">
      <c r="A668" s="234" t="s">
        <v>3594</v>
      </c>
      <c r="B668" t="s">
        <v>3595</v>
      </c>
      <c r="C668" s="235"/>
      <c r="D668" s="234" t="str">
        <f t="shared" si="14"/>
        <v>NACE H - 52.3 Intermediation service activities for transportation</v>
      </c>
      <c r="K668" t="s">
        <v>3596</v>
      </c>
    </row>
    <row r="669" spans="1:11" x14ac:dyDescent="0.25">
      <c r="A669" s="235" t="s">
        <v>3597</v>
      </c>
      <c r="B669" t="s">
        <v>3598</v>
      </c>
      <c r="C669" s="235"/>
      <c r="D669" s="235" t="str">
        <f t="shared" si="14"/>
        <v>NACE H - 52.31 Intermediation service activities for freight transportation</v>
      </c>
      <c r="K669" t="s">
        <v>3599</v>
      </c>
    </row>
    <row r="670" spans="1:11" x14ac:dyDescent="0.25">
      <c r="A670" s="235" t="s">
        <v>3600</v>
      </c>
      <c r="B670" t="s">
        <v>3601</v>
      </c>
      <c r="C670" s="235"/>
      <c r="D670" s="235" t="str">
        <f t="shared" si="14"/>
        <v>NACE H - 52.32 Intermediation service activities for passenger transportation</v>
      </c>
      <c r="K670" t="s">
        <v>3602</v>
      </c>
    </row>
    <row r="671" spans="1:11" x14ac:dyDescent="0.25">
      <c r="A671" s="231" t="s">
        <v>3603</v>
      </c>
      <c r="B671" t="s">
        <v>3604</v>
      </c>
      <c r="C671" s="235"/>
      <c r="D671" s="231" t="str">
        <f t="shared" si="14"/>
        <v>NACE H - 53 Postal and courier activities</v>
      </c>
      <c r="K671" t="s">
        <v>3605</v>
      </c>
    </row>
    <row r="672" spans="1:11" x14ac:dyDescent="0.25">
      <c r="A672" s="234" t="s">
        <v>3606</v>
      </c>
      <c r="B672" t="s">
        <v>3607</v>
      </c>
      <c r="C672" s="235"/>
      <c r="D672" s="234" t="str">
        <f t="shared" si="14"/>
        <v>NACE H - 53.1 Postal activities under universal service obligation</v>
      </c>
      <c r="K672" t="s">
        <v>3608</v>
      </c>
    </row>
    <row r="673" spans="1:11" x14ac:dyDescent="0.25">
      <c r="A673" s="235" t="s">
        <v>3609</v>
      </c>
      <c r="B673" t="s">
        <v>3610</v>
      </c>
      <c r="C673" s="235"/>
      <c r="D673" s="235" t="str">
        <f t="shared" si="14"/>
        <v>NACE H - 53.10 Postal activities under universal service obligation</v>
      </c>
      <c r="K673" t="s">
        <v>3611</v>
      </c>
    </row>
    <row r="674" spans="1:11" x14ac:dyDescent="0.25">
      <c r="A674" s="234" t="s">
        <v>3612</v>
      </c>
      <c r="B674" t="s">
        <v>3613</v>
      </c>
      <c r="C674" s="235"/>
      <c r="D674" s="234" t="str">
        <f t="shared" si="14"/>
        <v>NACE H - 53.2 Other postal and courier activities</v>
      </c>
      <c r="K674" t="s">
        <v>3614</v>
      </c>
    </row>
    <row r="675" spans="1:11" x14ac:dyDescent="0.25">
      <c r="A675" s="235" t="s">
        <v>3615</v>
      </c>
      <c r="B675" t="s">
        <v>3616</v>
      </c>
      <c r="C675" s="235"/>
      <c r="D675" s="235" t="str">
        <f t="shared" si="14"/>
        <v>NACE H - 53.20 Other postal and courier activities</v>
      </c>
      <c r="K675" t="s">
        <v>3617</v>
      </c>
    </row>
    <row r="676" spans="1:11" x14ac:dyDescent="0.25">
      <c r="A676" s="234" t="s">
        <v>3618</v>
      </c>
      <c r="B676" t="s">
        <v>3619</v>
      </c>
      <c r="C676" s="235"/>
      <c r="D676" s="234" t="str">
        <f t="shared" si="14"/>
        <v>NACE H - 53.3 Intermediation service activities for postal and courier activities</v>
      </c>
      <c r="K676" t="s">
        <v>3620</v>
      </c>
    </row>
    <row r="677" spans="1:11" x14ac:dyDescent="0.25">
      <c r="A677" s="235" t="s">
        <v>3621</v>
      </c>
      <c r="B677" t="s">
        <v>3622</v>
      </c>
      <c r="C677" s="235"/>
      <c r="D677" s="235" t="str">
        <f t="shared" si="14"/>
        <v>NACE H - 53.30 Intermediation service activities for postal and courier activities</v>
      </c>
      <c r="K677" t="s">
        <v>3623</v>
      </c>
    </row>
    <row r="678" spans="1:11" x14ac:dyDescent="0.25">
      <c r="A678" s="232" t="s">
        <v>3624</v>
      </c>
      <c r="B678" t="s">
        <v>3625</v>
      </c>
      <c r="C678" s="235"/>
      <c r="D678" s="232" t="str">
        <f t="shared" si="14"/>
        <v>NACE I - ACCOMMODATION AND FOOD SERVICE ACTIVITIES</v>
      </c>
      <c r="K678" t="s">
        <v>3626</v>
      </c>
    </row>
    <row r="679" spans="1:11" x14ac:dyDescent="0.25">
      <c r="A679" s="231" t="s">
        <v>3627</v>
      </c>
      <c r="B679" t="s">
        <v>3628</v>
      </c>
      <c r="C679" s="235"/>
      <c r="D679" s="231" t="str">
        <f t="shared" si="14"/>
        <v>NACE I - 55 Accommodation</v>
      </c>
      <c r="K679" t="s">
        <v>3629</v>
      </c>
    </row>
    <row r="680" spans="1:11" x14ac:dyDescent="0.25">
      <c r="A680" s="234" t="s">
        <v>3630</v>
      </c>
      <c r="B680" t="s">
        <v>3631</v>
      </c>
      <c r="C680" s="235"/>
      <c r="D680" s="234" t="str">
        <f t="shared" si="14"/>
        <v>NACE I - 55.1 Hotels and similar accommodation</v>
      </c>
      <c r="K680" t="s">
        <v>3632</v>
      </c>
    </row>
    <row r="681" spans="1:11" x14ac:dyDescent="0.25">
      <c r="A681" s="235" t="s">
        <v>3633</v>
      </c>
      <c r="B681" t="s">
        <v>3634</v>
      </c>
      <c r="C681" s="235"/>
      <c r="D681" s="235" t="str">
        <f t="shared" si="14"/>
        <v>NACE I - 55.10 Hotels and similar accommodation</v>
      </c>
      <c r="K681" t="s">
        <v>3635</v>
      </c>
    </row>
    <row r="682" spans="1:11" x14ac:dyDescent="0.25">
      <c r="A682" s="234" t="s">
        <v>3636</v>
      </c>
      <c r="B682" t="s">
        <v>3637</v>
      </c>
      <c r="C682" s="235"/>
      <c r="D682" s="234" t="str">
        <f t="shared" si="14"/>
        <v>NACE I - 55.2 Holiday and other short-stay accommodation</v>
      </c>
      <c r="K682" t="s">
        <v>3638</v>
      </c>
    </row>
    <row r="683" spans="1:11" x14ac:dyDescent="0.25">
      <c r="A683" s="235" t="s">
        <v>3639</v>
      </c>
      <c r="B683" t="s">
        <v>3640</v>
      </c>
      <c r="C683" s="235"/>
      <c r="D683" s="235" t="str">
        <f t="shared" si="14"/>
        <v>NACE I - 55.20 Holiday and other short-stay accommodation</v>
      </c>
      <c r="K683" t="s">
        <v>3641</v>
      </c>
    </row>
    <row r="684" spans="1:11" x14ac:dyDescent="0.25">
      <c r="A684" s="234" t="s">
        <v>3642</v>
      </c>
      <c r="B684" t="s">
        <v>3643</v>
      </c>
      <c r="C684" s="235"/>
      <c r="D684" s="234" t="str">
        <f t="shared" si="14"/>
        <v>NACE I - 55.3 Camping grounds and recreational vehicle parks</v>
      </c>
      <c r="K684" t="s">
        <v>3644</v>
      </c>
    </row>
    <row r="685" spans="1:11" x14ac:dyDescent="0.25">
      <c r="A685" s="235" t="s">
        <v>3645</v>
      </c>
      <c r="B685" t="s">
        <v>3646</v>
      </c>
      <c r="C685" s="235"/>
      <c r="D685" s="235" t="str">
        <f t="shared" si="14"/>
        <v>NACE I - 55.30 Camping grounds and recreational vehicle parks</v>
      </c>
      <c r="K685" t="s">
        <v>3647</v>
      </c>
    </row>
    <row r="686" spans="1:11" x14ac:dyDescent="0.25">
      <c r="A686" s="234" t="s">
        <v>3648</v>
      </c>
      <c r="B686" t="s">
        <v>3649</v>
      </c>
      <c r="C686" s="235"/>
      <c r="D686" s="234" t="str">
        <f t="shared" si="14"/>
        <v>NACE I - 55.4 Intermediation service activities for accommodation</v>
      </c>
      <c r="K686" t="s">
        <v>3650</v>
      </c>
    </row>
    <row r="687" spans="1:11" x14ac:dyDescent="0.25">
      <c r="A687" s="235" t="s">
        <v>3651</v>
      </c>
      <c r="B687" t="s">
        <v>3652</v>
      </c>
      <c r="C687" s="235"/>
      <c r="D687" s="235" t="str">
        <f t="shared" si="14"/>
        <v>NACE I - 55.40 Intermediation service activities for accommodation</v>
      </c>
      <c r="K687" t="s">
        <v>3653</v>
      </c>
    </row>
    <row r="688" spans="1:11" x14ac:dyDescent="0.25">
      <c r="A688" s="234" t="s">
        <v>3654</v>
      </c>
      <c r="B688" t="s">
        <v>3655</v>
      </c>
      <c r="C688" s="235"/>
      <c r="D688" s="234" t="str">
        <f t="shared" si="14"/>
        <v>NACE I - 55.9 Other accommodation</v>
      </c>
      <c r="K688" t="s">
        <v>3656</v>
      </c>
    </row>
    <row r="689" spans="1:11" x14ac:dyDescent="0.25">
      <c r="A689" s="235" t="s">
        <v>3657</v>
      </c>
      <c r="B689" t="s">
        <v>3658</v>
      </c>
      <c r="C689" s="235"/>
      <c r="D689" s="235" t="str">
        <f t="shared" si="14"/>
        <v>NACE I - 55.90 Other accommodation</v>
      </c>
      <c r="K689" t="s">
        <v>3659</v>
      </c>
    </row>
    <row r="690" spans="1:11" x14ac:dyDescent="0.25">
      <c r="A690" s="231" t="s">
        <v>3660</v>
      </c>
      <c r="B690" t="s">
        <v>3661</v>
      </c>
      <c r="C690" s="235"/>
      <c r="D690" s="231" t="str">
        <f t="shared" si="14"/>
        <v>NACE I - 56 Food and beverage service activities</v>
      </c>
      <c r="K690" t="s">
        <v>3662</v>
      </c>
    </row>
    <row r="691" spans="1:11" x14ac:dyDescent="0.25">
      <c r="A691" s="234" t="s">
        <v>3663</v>
      </c>
      <c r="B691" t="s">
        <v>3664</v>
      </c>
      <c r="C691" s="235"/>
      <c r="D691" s="234" t="str">
        <f t="shared" si="14"/>
        <v>NACE I - 56.1 Restaurants and mobile food service activities</v>
      </c>
      <c r="K691" t="s">
        <v>3665</v>
      </c>
    </row>
    <row r="692" spans="1:11" x14ac:dyDescent="0.25">
      <c r="A692" s="235" t="s">
        <v>3666</v>
      </c>
      <c r="B692" t="s">
        <v>3667</v>
      </c>
      <c r="C692" s="235"/>
      <c r="D692" s="235" t="str">
        <f t="shared" si="14"/>
        <v>NACE I - 56.11 Restaurant activities</v>
      </c>
      <c r="K692" t="s">
        <v>3668</v>
      </c>
    </row>
    <row r="693" spans="1:11" x14ac:dyDescent="0.25">
      <c r="A693" s="235" t="s">
        <v>3669</v>
      </c>
      <c r="B693" t="s">
        <v>3670</v>
      </c>
      <c r="C693" s="235"/>
      <c r="D693" s="235" t="str">
        <f t="shared" si="14"/>
        <v>NACE I - 56.12 Mobile food service activities</v>
      </c>
      <c r="K693" t="s">
        <v>3671</v>
      </c>
    </row>
    <row r="694" spans="1:11" x14ac:dyDescent="0.25">
      <c r="A694" s="234" t="s">
        <v>3672</v>
      </c>
      <c r="B694" t="s">
        <v>3673</v>
      </c>
      <c r="C694" s="235"/>
      <c r="D694" s="234" t="str">
        <f t="shared" si="14"/>
        <v>NACE I - 56.2 Event catering, contract catering service activities and other food service activities</v>
      </c>
      <c r="K694" t="s">
        <v>3674</v>
      </c>
    </row>
    <row r="695" spans="1:11" x14ac:dyDescent="0.25">
      <c r="A695" s="235" t="s">
        <v>3675</v>
      </c>
      <c r="B695" t="s">
        <v>3676</v>
      </c>
      <c r="C695" s="235"/>
      <c r="D695" s="235" t="str">
        <f t="shared" si="14"/>
        <v>NACE I - 56.21 Event catering activities</v>
      </c>
      <c r="K695" t="s">
        <v>3677</v>
      </c>
    </row>
    <row r="696" spans="1:11" x14ac:dyDescent="0.25">
      <c r="A696" s="235" t="s">
        <v>3678</v>
      </c>
      <c r="B696" t="s">
        <v>3679</v>
      </c>
      <c r="C696" s="235"/>
      <c r="D696" s="235" t="str">
        <f t="shared" si="14"/>
        <v>NACE I - 56.22 Contract catering service activities and other food service activities</v>
      </c>
      <c r="K696" t="s">
        <v>133</v>
      </c>
    </row>
    <row r="697" spans="1:11" x14ac:dyDescent="0.25">
      <c r="A697" s="234" t="s">
        <v>3680</v>
      </c>
      <c r="B697" t="s">
        <v>3681</v>
      </c>
      <c r="C697" s="235"/>
      <c r="D697" s="234" t="str">
        <f t="shared" si="14"/>
        <v>NACE I - 56.3 Beverage serving activities</v>
      </c>
      <c r="K697" t="s">
        <v>3682</v>
      </c>
    </row>
    <row r="698" spans="1:11" x14ac:dyDescent="0.25">
      <c r="A698" s="235" t="s">
        <v>3683</v>
      </c>
      <c r="B698" t="s">
        <v>3684</v>
      </c>
      <c r="C698" s="235"/>
      <c r="D698" s="235" t="str">
        <f t="shared" si="14"/>
        <v>NACE I - 56.30 Beverage serving activities</v>
      </c>
      <c r="K698" t="s">
        <v>3685</v>
      </c>
    </row>
    <row r="699" spans="1:11" x14ac:dyDescent="0.25">
      <c r="A699" s="234" t="s">
        <v>3686</v>
      </c>
      <c r="B699" t="s">
        <v>3687</v>
      </c>
      <c r="C699" s="235"/>
      <c r="D699" s="234" t="str">
        <f t="shared" si="14"/>
        <v>NACE I - 56.4 Intermediation service activities for food and beverage services activities</v>
      </c>
      <c r="K699" t="s">
        <v>3688</v>
      </c>
    </row>
    <row r="700" spans="1:11" x14ac:dyDescent="0.25">
      <c r="A700" s="235" t="s">
        <v>3689</v>
      </c>
      <c r="B700" t="s">
        <v>3690</v>
      </c>
      <c r="C700" s="235"/>
      <c r="D700" s="235" t="str">
        <f t="shared" si="14"/>
        <v>NACE I - 56.40 Intermediation service activities for food and beverage services activities</v>
      </c>
      <c r="K700" t="s">
        <v>3691</v>
      </c>
    </row>
    <row r="701" spans="1:11" x14ac:dyDescent="0.25">
      <c r="A701" s="232" t="s">
        <v>3692</v>
      </c>
      <c r="B701" t="s">
        <v>3693</v>
      </c>
      <c r="C701" s="235"/>
      <c r="D701" s="232" t="str">
        <f t="shared" si="14"/>
        <v>NACE J - PUBLISHING, BROADCASTING, AND CONTENT PRODUCTION AND DISTRIBUTION ACTIVITIES</v>
      </c>
      <c r="K701" t="s">
        <v>3694</v>
      </c>
    </row>
    <row r="702" spans="1:11" x14ac:dyDescent="0.25">
      <c r="A702" s="231" t="s">
        <v>3695</v>
      </c>
      <c r="B702" t="s">
        <v>3696</v>
      </c>
      <c r="C702" s="235"/>
      <c r="D702" s="231" t="str">
        <f t="shared" si="14"/>
        <v>NACE J - 58 Publishing activities</v>
      </c>
      <c r="K702" t="s">
        <v>3697</v>
      </c>
    </row>
    <row r="703" spans="1:11" x14ac:dyDescent="0.25">
      <c r="A703" s="234" t="s">
        <v>3698</v>
      </c>
      <c r="B703" t="s">
        <v>3699</v>
      </c>
      <c r="C703" s="235"/>
      <c r="D703" s="234" t="str">
        <f t="shared" si="14"/>
        <v>NACE J - 58.1 Publishing of books, newspapers and other publishing activities, except software publishing</v>
      </c>
      <c r="K703" t="s">
        <v>3700</v>
      </c>
    </row>
    <row r="704" spans="1:11" x14ac:dyDescent="0.25">
      <c r="A704" s="235" t="s">
        <v>3701</v>
      </c>
      <c r="B704" t="s">
        <v>3702</v>
      </c>
      <c r="C704" s="235"/>
      <c r="D704" s="235" t="str">
        <f t="shared" si="14"/>
        <v>NACE J - 58.11 Publishing of books</v>
      </c>
      <c r="K704" t="s">
        <v>3703</v>
      </c>
    </row>
    <row r="705" spans="1:11" x14ac:dyDescent="0.25">
      <c r="A705" s="235" t="s">
        <v>3704</v>
      </c>
      <c r="B705" t="s">
        <v>3705</v>
      </c>
      <c r="C705" s="235"/>
      <c r="D705" s="235" t="str">
        <f t="shared" si="14"/>
        <v>NACE J - 58.12 Publishing of newspapers</v>
      </c>
      <c r="K705" t="s">
        <v>3706</v>
      </c>
    </row>
    <row r="706" spans="1:11" x14ac:dyDescent="0.25">
      <c r="A706" s="235" t="s">
        <v>3707</v>
      </c>
      <c r="B706" t="s">
        <v>3708</v>
      </c>
      <c r="C706" s="235"/>
      <c r="D706" s="235" t="str">
        <f t="shared" ref="D706:D769" si="15">_xlfn.CONCAT("NACE ", A706)</f>
        <v>NACE J - 58.13 Publishing of journals and periodicals</v>
      </c>
      <c r="K706" t="s">
        <v>3709</v>
      </c>
    </row>
    <row r="707" spans="1:11" x14ac:dyDescent="0.25">
      <c r="A707" s="235" t="s">
        <v>3710</v>
      </c>
      <c r="B707" t="s">
        <v>3711</v>
      </c>
      <c r="C707" s="235"/>
      <c r="D707" s="235" t="str">
        <f t="shared" si="15"/>
        <v>NACE J - 58.19 Other publishing activities, except software publishing</v>
      </c>
      <c r="K707" t="s">
        <v>3712</v>
      </c>
    </row>
    <row r="708" spans="1:11" x14ac:dyDescent="0.25">
      <c r="A708" s="234" t="s">
        <v>3713</v>
      </c>
      <c r="B708" t="s">
        <v>3714</v>
      </c>
      <c r="C708" s="235"/>
      <c r="D708" s="234" t="str">
        <f t="shared" si="15"/>
        <v>NACE J - 58.2 Software publishing</v>
      </c>
      <c r="K708" t="s">
        <v>3715</v>
      </c>
    </row>
    <row r="709" spans="1:11" x14ac:dyDescent="0.25">
      <c r="A709" s="235" t="s">
        <v>3716</v>
      </c>
      <c r="B709" t="s">
        <v>3717</v>
      </c>
      <c r="C709" s="235"/>
      <c r="D709" s="235" t="str">
        <f t="shared" si="15"/>
        <v>NACE J - 58.21 Publishing of video games</v>
      </c>
      <c r="K709" t="s">
        <v>3718</v>
      </c>
    </row>
    <row r="710" spans="1:11" x14ac:dyDescent="0.25">
      <c r="A710" s="235" t="s">
        <v>3719</v>
      </c>
      <c r="B710" t="s">
        <v>3720</v>
      </c>
      <c r="C710" s="235"/>
      <c r="D710" s="235" t="str">
        <f t="shared" si="15"/>
        <v>NACE J - 58.29 Other software publishing</v>
      </c>
      <c r="K710" t="s">
        <v>3721</v>
      </c>
    </row>
    <row r="711" spans="1:11" x14ac:dyDescent="0.25">
      <c r="A711" s="231" t="s">
        <v>3722</v>
      </c>
      <c r="B711" t="s">
        <v>3723</v>
      </c>
      <c r="C711" s="235"/>
      <c r="D711" s="231" t="str">
        <f t="shared" si="15"/>
        <v>NACE J - 59 Motion picture, video and television programme production, sound recording and music publishing activities</v>
      </c>
      <c r="K711" t="s">
        <v>3724</v>
      </c>
    </row>
    <row r="712" spans="1:11" x14ac:dyDescent="0.25">
      <c r="A712" s="234" t="s">
        <v>3725</v>
      </c>
      <c r="B712" t="s">
        <v>3726</v>
      </c>
      <c r="C712" s="235"/>
      <c r="D712" s="234" t="str">
        <f t="shared" si="15"/>
        <v>NACE J - 59.1 Motion picture, video and television programme activities</v>
      </c>
      <c r="K712" t="s">
        <v>3727</v>
      </c>
    </row>
    <row r="713" spans="1:11" x14ac:dyDescent="0.25">
      <c r="A713" s="235" t="s">
        <v>3728</v>
      </c>
      <c r="B713" t="s">
        <v>3729</v>
      </c>
      <c r="C713" s="235"/>
      <c r="D713" s="235" t="str">
        <f t="shared" si="15"/>
        <v>NACE J - 59.11 Motion picture, video and television programme production activities</v>
      </c>
      <c r="K713" t="s">
        <v>3730</v>
      </c>
    </row>
    <row r="714" spans="1:11" x14ac:dyDescent="0.25">
      <c r="A714" s="235" t="s">
        <v>3731</v>
      </c>
      <c r="B714" t="s">
        <v>3732</v>
      </c>
      <c r="C714" s="235"/>
      <c r="D714" s="235" t="str">
        <f t="shared" si="15"/>
        <v>NACE J - 59.12 Motion picture, video and television programme post-production activities</v>
      </c>
      <c r="K714" t="s">
        <v>3733</v>
      </c>
    </row>
    <row r="715" spans="1:11" x14ac:dyDescent="0.25">
      <c r="A715" s="235" t="s">
        <v>3734</v>
      </c>
      <c r="B715" t="s">
        <v>3735</v>
      </c>
      <c r="C715" s="235"/>
      <c r="D715" s="235" t="str">
        <f t="shared" si="15"/>
        <v>NACE J - 59.13 Motion picture and video distribution activities</v>
      </c>
      <c r="K715" t="s">
        <v>3736</v>
      </c>
    </row>
    <row r="716" spans="1:11" x14ac:dyDescent="0.25">
      <c r="A716" s="235" t="s">
        <v>3737</v>
      </c>
      <c r="B716" t="s">
        <v>3738</v>
      </c>
      <c r="C716" s="235"/>
      <c r="D716" s="235" t="str">
        <f t="shared" si="15"/>
        <v>NACE J - 59.14 Motion picture projection activities</v>
      </c>
      <c r="K716" t="s">
        <v>3739</v>
      </c>
    </row>
    <row r="717" spans="1:11" x14ac:dyDescent="0.25">
      <c r="A717" s="234" t="s">
        <v>3740</v>
      </c>
      <c r="B717" t="s">
        <v>3741</v>
      </c>
      <c r="C717" s="235"/>
      <c r="D717" s="234" t="str">
        <f t="shared" si="15"/>
        <v>NACE J - 59.2 Sound recording and music publishing activities</v>
      </c>
      <c r="K717" t="s">
        <v>3742</v>
      </c>
    </row>
    <row r="718" spans="1:11" x14ac:dyDescent="0.25">
      <c r="A718" s="235" t="s">
        <v>3743</v>
      </c>
      <c r="B718" t="s">
        <v>3744</v>
      </c>
      <c r="C718" s="235"/>
      <c r="D718" s="235" t="str">
        <f t="shared" si="15"/>
        <v>NACE J - 59.20 Sound recording and music publishing activities</v>
      </c>
      <c r="K718" t="s">
        <v>3745</v>
      </c>
    </row>
    <row r="719" spans="1:11" x14ac:dyDescent="0.25">
      <c r="A719" s="231" t="s">
        <v>3746</v>
      </c>
      <c r="B719" t="s">
        <v>3747</v>
      </c>
      <c r="C719" s="235"/>
      <c r="D719" s="231" t="str">
        <f t="shared" si="15"/>
        <v>NACE J - 60 Programming, broadcasting, news agency and other content distribution activities</v>
      </c>
      <c r="K719" t="s">
        <v>3748</v>
      </c>
    </row>
    <row r="720" spans="1:11" x14ac:dyDescent="0.25">
      <c r="A720" s="234" t="s">
        <v>3749</v>
      </c>
      <c r="B720" t="s">
        <v>3750</v>
      </c>
      <c r="C720" s="235"/>
      <c r="D720" s="234" t="str">
        <f t="shared" si="15"/>
        <v>NACE J - 60.1 Radio broadcasting and audio distribution activities</v>
      </c>
      <c r="K720" t="s">
        <v>3751</v>
      </c>
    </row>
    <row r="721" spans="1:11" x14ac:dyDescent="0.25">
      <c r="A721" s="235" t="s">
        <v>3752</v>
      </c>
      <c r="B721" t="s">
        <v>3753</v>
      </c>
      <c r="C721" s="235"/>
      <c r="D721" s="235" t="str">
        <f t="shared" si="15"/>
        <v>NACE J - 60.10 Radio broadcasting and audio distribution activities</v>
      </c>
      <c r="K721" t="s">
        <v>3754</v>
      </c>
    </row>
    <row r="722" spans="1:11" x14ac:dyDescent="0.25">
      <c r="A722" s="234" t="s">
        <v>3755</v>
      </c>
      <c r="B722" t="s">
        <v>3756</v>
      </c>
      <c r="C722" s="235"/>
      <c r="D722" s="234" t="str">
        <f t="shared" si="15"/>
        <v>NACE J - 60.2 Television programming, broadcasting and video distribution activities</v>
      </c>
      <c r="K722" t="s">
        <v>3757</v>
      </c>
    </row>
    <row r="723" spans="1:11" x14ac:dyDescent="0.25">
      <c r="A723" s="235" t="s">
        <v>3758</v>
      </c>
      <c r="B723" t="s">
        <v>3759</v>
      </c>
      <c r="C723" s="235"/>
      <c r="D723" s="235" t="str">
        <f t="shared" si="15"/>
        <v>NACE J - 60.20 Television programming, broadcasting and video distribution activities</v>
      </c>
      <c r="K723" t="s">
        <v>3760</v>
      </c>
    </row>
    <row r="724" spans="1:11" x14ac:dyDescent="0.25">
      <c r="A724" s="234" t="s">
        <v>3761</v>
      </c>
      <c r="B724" t="s">
        <v>3762</v>
      </c>
      <c r="C724" s="235"/>
      <c r="D724" s="234" t="str">
        <f t="shared" si="15"/>
        <v>NACE J - 60.3 News agency and other content distribution activities</v>
      </c>
      <c r="K724" t="s">
        <v>3763</v>
      </c>
    </row>
    <row r="725" spans="1:11" x14ac:dyDescent="0.25">
      <c r="A725" s="235" t="s">
        <v>3764</v>
      </c>
      <c r="B725" t="s">
        <v>3765</v>
      </c>
      <c r="C725" s="235"/>
      <c r="D725" s="235" t="str">
        <f t="shared" si="15"/>
        <v>NACE J - 60.31 News agency activities</v>
      </c>
      <c r="K725" t="s">
        <v>3766</v>
      </c>
    </row>
    <row r="726" spans="1:11" x14ac:dyDescent="0.25">
      <c r="A726" s="235" t="s">
        <v>3767</v>
      </c>
      <c r="B726" t="s">
        <v>3768</v>
      </c>
      <c r="C726" s="235"/>
      <c r="D726" s="235" t="str">
        <f t="shared" si="15"/>
        <v>NACE J - 60.39 Other content distribution activities</v>
      </c>
      <c r="K726" t="s">
        <v>3769</v>
      </c>
    </row>
    <row r="727" spans="1:11" x14ac:dyDescent="0.25">
      <c r="A727" s="232" t="s">
        <v>3770</v>
      </c>
      <c r="B727" t="s">
        <v>3771</v>
      </c>
      <c r="C727" s="235"/>
      <c r="D727" s="232" t="str">
        <f t="shared" si="15"/>
        <v>NACE K - TELECOMMUNICATION, COMPUTER PROGRAMMING, CONSULTING, COMPUTING INFRASTRUCTURE AND OTHER INFORMATION SERVICE ACTIVITIES</v>
      </c>
      <c r="K727" t="s">
        <v>3772</v>
      </c>
    </row>
    <row r="728" spans="1:11" x14ac:dyDescent="0.25">
      <c r="A728" s="231" t="s">
        <v>3773</v>
      </c>
      <c r="B728" t="s">
        <v>3774</v>
      </c>
      <c r="C728" s="235"/>
      <c r="D728" s="231" t="str">
        <f t="shared" si="15"/>
        <v>NACE K - 61 Telecommunication</v>
      </c>
      <c r="K728" t="s">
        <v>3775</v>
      </c>
    </row>
    <row r="729" spans="1:11" x14ac:dyDescent="0.25">
      <c r="A729" s="234" t="s">
        <v>3776</v>
      </c>
      <c r="B729" t="s">
        <v>3777</v>
      </c>
      <c r="C729" s="235"/>
      <c r="D729" s="234" t="str">
        <f t="shared" si="15"/>
        <v>NACE K - 61.1 Wired, wireless, and satellite telecommunication activities</v>
      </c>
      <c r="K729" t="s">
        <v>3778</v>
      </c>
    </row>
    <row r="730" spans="1:11" x14ac:dyDescent="0.25">
      <c r="A730" s="235" t="s">
        <v>3779</v>
      </c>
      <c r="B730" t="s">
        <v>3780</v>
      </c>
      <c r="C730" s="235"/>
      <c r="D730" s="235" t="str">
        <f t="shared" si="15"/>
        <v>NACE K - 61.10 Wired, wireless, and satellite telecommunication activities</v>
      </c>
      <c r="K730" t="s">
        <v>3781</v>
      </c>
    </row>
    <row r="731" spans="1:11" x14ac:dyDescent="0.25">
      <c r="A731" s="234" t="s">
        <v>3782</v>
      </c>
      <c r="B731" t="s">
        <v>3783</v>
      </c>
      <c r="C731" s="235"/>
      <c r="D731" s="234" t="str">
        <f t="shared" si="15"/>
        <v>NACE K - 61.2 Telecommunication reselling activities and intermediation service activities for telecommunication</v>
      </c>
      <c r="K731" t="s">
        <v>3784</v>
      </c>
    </row>
    <row r="732" spans="1:11" x14ac:dyDescent="0.25">
      <c r="A732" s="235" t="s">
        <v>3785</v>
      </c>
      <c r="B732" t="s">
        <v>3786</v>
      </c>
      <c r="C732" s="235"/>
      <c r="D732" s="235" t="str">
        <f t="shared" si="15"/>
        <v>NACE K - 61.20 Telecommunication reselling activities and intermediation service activities for telecommunication</v>
      </c>
      <c r="K732" t="s">
        <v>3787</v>
      </c>
    </row>
    <row r="733" spans="1:11" x14ac:dyDescent="0.25">
      <c r="A733" s="234" t="s">
        <v>3788</v>
      </c>
      <c r="B733" t="s">
        <v>3789</v>
      </c>
      <c r="C733" s="235"/>
      <c r="D733" s="234" t="str">
        <f t="shared" si="15"/>
        <v>NACE K - 61.9 Other telecommunication activities</v>
      </c>
      <c r="K733" t="s">
        <v>3790</v>
      </c>
    </row>
    <row r="734" spans="1:11" x14ac:dyDescent="0.25">
      <c r="A734" s="235" t="s">
        <v>3791</v>
      </c>
      <c r="B734" t="s">
        <v>3792</v>
      </c>
      <c r="C734" s="235"/>
      <c r="D734" s="235" t="str">
        <f t="shared" si="15"/>
        <v>NACE K - 61.90 Other telecommunication activities</v>
      </c>
      <c r="K734" t="s">
        <v>3793</v>
      </c>
    </row>
    <row r="735" spans="1:11" x14ac:dyDescent="0.25">
      <c r="A735" s="231" t="s">
        <v>3794</v>
      </c>
      <c r="B735" t="s">
        <v>3795</v>
      </c>
      <c r="C735" s="235"/>
      <c r="D735" s="231" t="str">
        <f t="shared" si="15"/>
        <v>NACE K - 62 Computer programming, consultancy and related activities</v>
      </c>
      <c r="K735" t="s">
        <v>3796</v>
      </c>
    </row>
    <row r="736" spans="1:11" x14ac:dyDescent="0.25">
      <c r="A736" s="234" t="s">
        <v>3797</v>
      </c>
      <c r="B736" t="s">
        <v>3798</v>
      </c>
      <c r="C736" s="235"/>
      <c r="D736" s="234" t="str">
        <f t="shared" si="15"/>
        <v>NACE K - 62.1 Computer programming activities</v>
      </c>
      <c r="K736" t="s">
        <v>3799</v>
      </c>
    </row>
    <row r="737" spans="1:11" x14ac:dyDescent="0.25">
      <c r="A737" s="235" t="s">
        <v>3800</v>
      </c>
      <c r="B737" t="s">
        <v>3801</v>
      </c>
      <c r="C737" s="235"/>
      <c r="D737" s="235" t="str">
        <f t="shared" si="15"/>
        <v>NACE K - 62.10 Computer programming activities</v>
      </c>
      <c r="K737" t="s">
        <v>3802</v>
      </c>
    </row>
    <row r="738" spans="1:11" x14ac:dyDescent="0.25">
      <c r="A738" s="234" t="s">
        <v>3803</v>
      </c>
      <c r="B738" t="s">
        <v>3804</v>
      </c>
      <c r="C738" s="235"/>
      <c r="D738" s="234" t="str">
        <f t="shared" si="15"/>
        <v>NACE K - 62.2 Computer consultancy and computer facilities management activities</v>
      </c>
      <c r="K738" t="s">
        <v>3805</v>
      </c>
    </row>
    <row r="739" spans="1:11" x14ac:dyDescent="0.25">
      <c r="A739" s="235" t="s">
        <v>3806</v>
      </c>
      <c r="B739" t="s">
        <v>3807</v>
      </c>
      <c r="C739" s="235"/>
      <c r="D739" s="235" t="str">
        <f t="shared" si="15"/>
        <v>NACE K - 62.20 Computer consultancy and computer facilities management activities</v>
      </c>
      <c r="K739" t="s">
        <v>3808</v>
      </c>
    </row>
    <row r="740" spans="1:11" x14ac:dyDescent="0.25">
      <c r="A740" s="234" t="s">
        <v>3809</v>
      </c>
      <c r="B740" t="s">
        <v>3810</v>
      </c>
      <c r="C740" s="235"/>
      <c r="D740" s="234" t="str">
        <f t="shared" si="15"/>
        <v>NACE K - 62.9 Other information technology and computer service activities</v>
      </c>
      <c r="K740" t="s">
        <v>3811</v>
      </c>
    </row>
    <row r="741" spans="1:11" x14ac:dyDescent="0.25">
      <c r="A741" s="235" t="s">
        <v>3812</v>
      </c>
      <c r="B741" t="s">
        <v>3813</v>
      </c>
      <c r="C741" s="235"/>
      <c r="D741" s="235" t="str">
        <f t="shared" si="15"/>
        <v>NACE K - 62.90 Other information technology and computer service activities</v>
      </c>
      <c r="K741" t="s">
        <v>3814</v>
      </c>
    </row>
    <row r="742" spans="1:11" x14ac:dyDescent="0.25">
      <c r="A742" s="231" t="s">
        <v>3815</v>
      </c>
      <c r="B742" t="s">
        <v>3816</v>
      </c>
      <c r="C742" s="235"/>
      <c r="D742" s="231" t="str">
        <f t="shared" si="15"/>
        <v>NACE K - 63 Computing infrastructure, data processing, hosting and other information service activities</v>
      </c>
      <c r="K742" t="s">
        <v>3817</v>
      </c>
    </row>
    <row r="743" spans="1:11" x14ac:dyDescent="0.25">
      <c r="A743" s="234" t="s">
        <v>3818</v>
      </c>
      <c r="B743" t="s">
        <v>3819</v>
      </c>
      <c r="C743" s="235"/>
      <c r="D743" s="234" t="str">
        <f t="shared" si="15"/>
        <v>NACE K - 63.1 Computing infrastructure, data processing, hosting and related activities</v>
      </c>
      <c r="K743" t="s">
        <v>3820</v>
      </c>
    </row>
    <row r="744" spans="1:11" x14ac:dyDescent="0.25">
      <c r="A744" s="235" t="s">
        <v>3821</v>
      </c>
      <c r="B744" t="s">
        <v>3822</v>
      </c>
      <c r="C744" s="235"/>
      <c r="D744" s="235" t="str">
        <f t="shared" si="15"/>
        <v>NACE K - 63.10 Computing infrastructure, data processing, hosting and related activities</v>
      </c>
      <c r="K744" t="s">
        <v>3823</v>
      </c>
    </row>
    <row r="745" spans="1:11" x14ac:dyDescent="0.25">
      <c r="A745" s="234" t="s">
        <v>3824</v>
      </c>
      <c r="B745" t="s">
        <v>3825</v>
      </c>
      <c r="C745" s="235"/>
      <c r="D745" s="234" t="str">
        <f t="shared" si="15"/>
        <v>NACE K - 63.9 Web search portal activities and other information service activities</v>
      </c>
      <c r="K745" t="s">
        <v>3826</v>
      </c>
    </row>
    <row r="746" spans="1:11" x14ac:dyDescent="0.25">
      <c r="A746" s="235" t="s">
        <v>3827</v>
      </c>
      <c r="B746" t="s">
        <v>3828</v>
      </c>
      <c r="C746" s="235"/>
      <c r="D746" s="235" t="str">
        <f t="shared" si="15"/>
        <v>NACE K - 63.91 Web search portal activities</v>
      </c>
      <c r="K746" t="s">
        <v>3829</v>
      </c>
    </row>
    <row r="747" spans="1:11" x14ac:dyDescent="0.25">
      <c r="A747" s="235" t="s">
        <v>3830</v>
      </c>
      <c r="B747" t="s">
        <v>3831</v>
      </c>
      <c r="C747" s="235"/>
      <c r="D747" s="235" t="str">
        <f t="shared" si="15"/>
        <v>NACE K - 63.92 Other information service activities</v>
      </c>
      <c r="K747" t="s">
        <v>3832</v>
      </c>
    </row>
    <row r="748" spans="1:11" x14ac:dyDescent="0.25">
      <c r="A748" s="232" t="s">
        <v>3833</v>
      </c>
      <c r="B748" t="s">
        <v>3834</v>
      </c>
      <c r="C748" s="235"/>
      <c r="D748" s="232" t="str">
        <f t="shared" si="15"/>
        <v>NACE L - FINANCIAL AND INSURANCE ACTIVITIES</v>
      </c>
      <c r="K748" t="s">
        <v>3835</v>
      </c>
    </row>
    <row r="749" spans="1:11" x14ac:dyDescent="0.25">
      <c r="A749" s="231" t="s">
        <v>3836</v>
      </c>
      <c r="B749" t="s">
        <v>3837</v>
      </c>
      <c r="C749" s="235"/>
      <c r="D749" s="231" t="str">
        <f t="shared" si="15"/>
        <v>NACE L - 64 Financial service activities, except insurance and pension funding</v>
      </c>
      <c r="K749" t="s">
        <v>3838</v>
      </c>
    </row>
    <row r="750" spans="1:11" x14ac:dyDescent="0.25">
      <c r="A750" s="234" t="s">
        <v>3839</v>
      </c>
      <c r="B750" t="s">
        <v>3840</v>
      </c>
      <c r="C750" s="235"/>
      <c r="D750" s="234" t="str">
        <f t="shared" si="15"/>
        <v>NACE L - 64.1 Monetary intermediation</v>
      </c>
      <c r="K750" t="s">
        <v>3841</v>
      </c>
    </row>
    <row r="751" spans="1:11" x14ac:dyDescent="0.25">
      <c r="A751" s="235" t="s">
        <v>3842</v>
      </c>
      <c r="B751" t="s">
        <v>3843</v>
      </c>
      <c r="C751" s="235"/>
      <c r="D751" s="235" t="str">
        <f t="shared" si="15"/>
        <v>NACE L - 64.11 Central banking</v>
      </c>
      <c r="K751" t="s">
        <v>3844</v>
      </c>
    </row>
    <row r="752" spans="1:11" x14ac:dyDescent="0.25">
      <c r="A752" s="235" t="s">
        <v>3845</v>
      </c>
      <c r="B752" t="s">
        <v>3846</v>
      </c>
      <c r="C752" s="235"/>
      <c r="D752" s="235" t="str">
        <f t="shared" si="15"/>
        <v>NACE L - 64.19 Other monetary intermediation</v>
      </c>
      <c r="K752" t="s">
        <v>3847</v>
      </c>
    </row>
    <row r="753" spans="1:11" x14ac:dyDescent="0.25">
      <c r="A753" s="234" t="s">
        <v>3848</v>
      </c>
      <c r="B753" t="s">
        <v>3849</v>
      </c>
      <c r="C753" s="235"/>
      <c r="D753" s="234" t="str">
        <f t="shared" si="15"/>
        <v>NACE L - 64.2 Activities of holding companies and financing conduits</v>
      </c>
      <c r="K753" t="s">
        <v>3850</v>
      </c>
    </row>
    <row r="754" spans="1:11" x14ac:dyDescent="0.25">
      <c r="A754" s="235" t="s">
        <v>3851</v>
      </c>
      <c r="B754" t="s">
        <v>3852</v>
      </c>
      <c r="C754" s="235"/>
      <c r="D754" s="235" t="str">
        <f t="shared" si="15"/>
        <v>NACE L - 64.21 Activities of holding companies</v>
      </c>
      <c r="K754" t="s">
        <v>3853</v>
      </c>
    </row>
    <row r="755" spans="1:11" x14ac:dyDescent="0.25">
      <c r="A755" s="235" t="s">
        <v>3854</v>
      </c>
      <c r="B755" t="s">
        <v>3855</v>
      </c>
      <c r="C755" s="235"/>
      <c r="D755" s="235" t="str">
        <f t="shared" si="15"/>
        <v>NACE L - 64.22 Activities of financing conduits</v>
      </c>
      <c r="K755" t="s">
        <v>3856</v>
      </c>
    </row>
    <row r="756" spans="1:11" x14ac:dyDescent="0.25">
      <c r="A756" s="234" t="s">
        <v>3857</v>
      </c>
      <c r="B756" t="s">
        <v>3858</v>
      </c>
      <c r="C756" s="235"/>
      <c r="D756" s="234" t="str">
        <f t="shared" si="15"/>
        <v>NACE L - 64.3 Activities of trusts, funds and similar financial entities</v>
      </c>
      <c r="K756" t="s">
        <v>3859</v>
      </c>
    </row>
    <row r="757" spans="1:11" x14ac:dyDescent="0.25">
      <c r="A757" s="235" t="s">
        <v>3860</v>
      </c>
      <c r="B757" t="s">
        <v>3861</v>
      </c>
      <c r="C757" s="235"/>
      <c r="D757" s="235" t="str">
        <f t="shared" si="15"/>
        <v>NACE L - 64.31 Activities of money market and non-money market investments funds</v>
      </c>
      <c r="K757" t="s">
        <v>3862</v>
      </c>
    </row>
    <row r="758" spans="1:11" x14ac:dyDescent="0.25">
      <c r="A758" s="235" t="s">
        <v>3863</v>
      </c>
      <c r="B758" t="s">
        <v>3864</v>
      </c>
      <c r="C758" s="235"/>
      <c r="D758" s="235" t="str">
        <f t="shared" si="15"/>
        <v>NACE L - 64.32 Activities of trust, estate and agency accounts</v>
      </c>
      <c r="K758" t="s">
        <v>3865</v>
      </c>
    </row>
    <row r="759" spans="1:11" x14ac:dyDescent="0.25">
      <c r="A759" s="234" t="s">
        <v>3866</v>
      </c>
      <c r="B759" t="s">
        <v>3867</v>
      </c>
      <c r="C759" s="235"/>
      <c r="D759" s="234" t="str">
        <f t="shared" si="15"/>
        <v>NACE L - 64.9 Other financial service activities, except insurance and pension funding</v>
      </c>
      <c r="K759" t="s">
        <v>3868</v>
      </c>
    </row>
    <row r="760" spans="1:11" x14ac:dyDescent="0.25">
      <c r="A760" s="235" t="s">
        <v>3869</v>
      </c>
      <c r="B760" t="s">
        <v>3870</v>
      </c>
      <c r="C760" s="235"/>
      <c r="D760" s="235" t="str">
        <f t="shared" si="15"/>
        <v>NACE L - 64.91 Financial leasing</v>
      </c>
      <c r="K760" t="s">
        <v>3871</v>
      </c>
    </row>
    <row r="761" spans="1:11" x14ac:dyDescent="0.25">
      <c r="A761" s="235" t="s">
        <v>3872</v>
      </c>
      <c r="B761" t="s">
        <v>3873</v>
      </c>
      <c r="C761" s="235"/>
      <c r="D761" s="235" t="str">
        <f t="shared" si="15"/>
        <v>NACE L - 64.92 Other credit granting</v>
      </c>
      <c r="K761" t="s">
        <v>3874</v>
      </c>
    </row>
    <row r="762" spans="1:11" x14ac:dyDescent="0.25">
      <c r="A762" s="235" t="s">
        <v>3875</v>
      </c>
      <c r="B762" t="s">
        <v>3876</v>
      </c>
      <c r="C762" s="235"/>
      <c r="D762" s="235" t="str">
        <f t="shared" si="15"/>
        <v>NACE L - 64.99 Other financial service activities, except insurance and pension funding n.e.c.</v>
      </c>
      <c r="K762" t="s">
        <v>3877</v>
      </c>
    </row>
    <row r="763" spans="1:11" x14ac:dyDescent="0.25">
      <c r="A763" s="231" t="s">
        <v>3878</v>
      </c>
      <c r="B763" t="s">
        <v>3879</v>
      </c>
      <c r="C763" s="235"/>
      <c r="D763" s="231" t="str">
        <f t="shared" si="15"/>
        <v>NACE L - 65 Insurance, reinsurance and pension funding, except compulsory social security</v>
      </c>
      <c r="K763" t="s">
        <v>3880</v>
      </c>
    </row>
    <row r="764" spans="1:11" x14ac:dyDescent="0.25">
      <c r="A764" s="234" t="s">
        <v>3881</v>
      </c>
      <c r="B764" t="s">
        <v>3882</v>
      </c>
      <c r="C764" s="235"/>
      <c r="D764" s="234" t="str">
        <f t="shared" si="15"/>
        <v>NACE L - 65.1 Insurance</v>
      </c>
      <c r="K764" t="s">
        <v>3883</v>
      </c>
    </row>
    <row r="765" spans="1:11" x14ac:dyDescent="0.25">
      <c r="A765" s="235" t="s">
        <v>3884</v>
      </c>
      <c r="B765" t="s">
        <v>3885</v>
      </c>
      <c r="C765" s="235"/>
      <c r="D765" s="235" t="str">
        <f t="shared" si="15"/>
        <v>NACE L - 65.11 Life insurance</v>
      </c>
      <c r="K765" t="s">
        <v>3886</v>
      </c>
    </row>
    <row r="766" spans="1:11" x14ac:dyDescent="0.25">
      <c r="A766" s="235" t="s">
        <v>3887</v>
      </c>
      <c r="B766" t="s">
        <v>3888</v>
      </c>
      <c r="C766" s="235"/>
      <c r="D766" s="235" t="str">
        <f t="shared" si="15"/>
        <v>NACE L - 65.12 Non-life insurance</v>
      </c>
      <c r="K766" t="s">
        <v>3889</v>
      </c>
    </row>
    <row r="767" spans="1:11" x14ac:dyDescent="0.25">
      <c r="A767" s="234" t="s">
        <v>3890</v>
      </c>
      <c r="B767" t="s">
        <v>3891</v>
      </c>
      <c r="C767" s="235"/>
      <c r="D767" s="234" t="str">
        <f t="shared" si="15"/>
        <v>NACE L - 65.2 Reinsurance</v>
      </c>
      <c r="K767" t="s">
        <v>3892</v>
      </c>
    </row>
    <row r="768" spans="1:11" x14ac:dyDescent="0.25">
      <c r="A768" s="235" t="s">
        <v>3893</v>
      </c>
      <c r="B768" t="s">
        <v>3894</v>
      </c>
      <c r="C768" s="235"/>
      <c r="D768" s="235" t="str">
        <f t="shared" si="15"/>
        <v>NACE L - 65.20 Reinsurance</v>
      </c>
      <c r="K768" t="s">
        <v>3895</v>
      </c>
    </row>
    <row r="769" spans="1:11" x14ac:dyDescent="0.25">
      <c r="A769" s="234" t="s">
        <v>3896</v>
      </c>
      <c r="B769" t="s">
        <v>3897</v>
      </c>
      <c r="C769" s="235"/>
      <c r="D769" s="234" t="str">
        <f t="shared" si="15"/>
        <v>NACE L - 65.3 Pension funding</v>
      </c>
      <c r="K769" t="s">
        <v>3898</v>
      </c>
    </row>
    <row r="770" spans="1:11" x14ac:dyDescent="0.25">
      <c r="A770" s="235" t="s">
        <v>3899</v>
      </c>
      <c r="B770" t="s">
        <v>3900</v>
      </c>
      <c r="C770" s="235"/>
      <c r="D770" s="235" t="str">
        <f t="shared" ref="D770:D833" si="16">_xlfn.CONCAT("NACE ", A770)</f>
        <v>NACE L - 65.30 Pension funding</v>
      </c>
      <c r="K770" t="s">
        <v>3901</v>
      </c>
    </row>
    <row r="771" spans="1:11" x14ac:dyDescent="0.25">
      <c r="A771" s="231" t="s">
        <v>3902</v>
      </c>
      <c r="B771" t="s">
        <v>3903</v>
      </c>
      <c r="C771" s="235"/>
      <c r="D771" s="231" t="str">
        <f t="shared" si="16"/>
        <v>NACE L - 66 Activities auxiliary to financial services and insurance activities</v>
      </c>
      <c r="K771" t="s">
        <v>3904</v>
      </c>
    </row>
    <row r="772" spans="1:11" x14ac:dyDescent="0.25">
      <c r="A772" s="234" t="s">
        <v>3905</v>
      </c>
      <c r="B772" t="s">
        <v>3906</v>
      </c>
      <c r="C772" s="235"/>
      <c r="D772" s="234" t="str">
        <f t="shared" si="16"/>
        <v>NACE L - 66.1 Activities auxiliary to financial services, except insurance and pension funding</v>
      </c>
      <c r="K772" t="s">
        <v>3907</v>
      </c>
    </row>
    <row r="773" spans="1:11" x14ac:dyDescent="0.25">
      <c r="A773" s="235" t="s">
        <v>3908</v>
      </c>
      <c r="B773" t="s">
        <v>3909</v>
      </c>
      <c r="C773" s="235"/>
      <c r="D773" s="235" t="str">
        <f t="shared" si="16"/>
        <v>NACE L - 66.11 Administration of financial markets</v>
      </c>
      <c r="K773" t="s">
        <v>3910</v>
      </c>
    </row>
    <row r="774" spans="1:11" x14ac:dyDescent="0.25">
      <c r="A774" s="235" t="s">
        <v>3911</v>
      </c>
      <c r="B774" t="s">
        <v>3912</v>
      </c>
      <c r="C774" s="235"/>
      <c r="D774" s="235" t="str">
        <f t="shared" si="16"/>
        <v>NACE L - 66.12 Security and commodity contracts brokerage</v>
      </c>
      <c r="K774" t="s">
        <v>3913</v>
      </c>
    </row>
    <row r="775" spans="1:11" x14ac:dyDescent="0.25">
      <c r="A775" s="235" t="s">
        <v>3914</v>
      </c>
      <c r="B775" t="s">
        <v>3915</v>
      </c>
      <c r="C775" s="235"/>
      <c r="D775" s="235" t="str">
        <f t="shared" si="16"/>
        <v>NACE L - 66.19 Other activities auxiliary to financial services, except insurance and pension funding</v>
      </c>
      <c r="K775" t="s">
        <v>137</v>
      </c>
    </row>
    <row r="776" spans="1:11" x14ac:dyDescent="0.25">
      <c r="A776" s="234" t="s">
        <v>3916</v>
      </c>
      <c r="B776" t="s">
        <v>3917</v>
      </c>
      <c r="C776" s="235"/>
      <c r="D776" s="234" t="str">
        <f t="shared" si="16"/>
        <v>NACE L - 66.2 Activities auxiliary to insurance and pension funding</v>
      </c>
      <c r="K776" t="s">
        <v>3918</v>
      </c>
    </row>
    <row r="777" spans="1:11" x14ac:dyDescent="0.25">
      <c r="A777" s="235" t="s">
        <v>3919</v>
      </c>
      <c r="B777" t="s">
        <v>3920</v>
      </c>
      <c r="C777" s="235"/>
      <c r="D777" s="235" t="str">
        <f t="shared" si="16"/>
        <v>NACE L - 66.21 Risk and damage evaluation</v>
      </c>
      <c r="K777" t="s">
        <v>3921</v>
      </c>
    </row>
    <row r="778" spans="1:11" x14ac:dyDescent="0.25">
      <c r="A778" s="235" t="s">
        <v>3922</v>
      </c>
      <c r="B778" t="s">
        <v>3923</v>
      </c>
      <c r="C778" s="235"/>
      <c r="D778" s="235" t="str">
        <f t="shared" si="16"/>
        <v>NACE L - 66.22 Activities of insurance agents and brokers</v>
      </c>
      <c r="K778" t="s">
        <v>3924</v>
      </c>
    </row>
    <row r="779" spans="1:11" x14ac:dyDescent="0.25">
      <c r="A779" s="235" t="s">
        <v>3925</v>
      </c>
      <c r="B779" t="s">
        <v>3926</v>
      </c>
      <c r="C779" s="235"/>
      <c r="D779" s="235" t="str">
        <f t="shared" si="16"/>
        <v>NACE L - 66.29 Activities auxiliary to insurance and pension funding n.e.c.</v>
      </c>
      <c r="K779" t="s">
        <v>3927</v>
      </c>
    </row>
    <row r="780" spans="1:11" x14ac:dyDescent="0.25">
      <c r="A780" s="234" t="s">
        <v>3928</v>
      </c>
      <c r="B780" t="s">
        <v>3929</v>
      </c>
      <c r="C780" s="235"/>
      <c r="D780" s="234" t="str">
        <f t="shared" si="16"/>
        <v>NACE L - 66.3 Fund management activities</v>
      </c>
      <c r="K780" t="s">
        <v>3930</v>
      </c>
    </row>
    <row r="781" spans="1:11" x14ac:dyDescent="0.25">
      <c r="A781" s="235" t="s">
        <v>3931</v>
      </c>
      <c r="B781" t="s">
        <v>3932</v>
      </c>
      <c r="C781" s="235"/>
      <c r="D781" s="235" t="str">
        <f t="shared" si="16"/>
        <v>NACE L - 66.30 Fund management activities</v>
      </c>
      <c r="K781" t="s">
        <v>3933</v>
      </c>
    </row>
    <row r="782" spans="1:11" x14ac:dyDescent="0.25">
      <c r="A782" s="232" t="s">
        <v>3934</v>
      </c>
      <c r="B782" t="s">
        <v>3935</v>
      </c>
      <c r="C782" s="235"/>
      <c r="D782" s="232" t="str">
        <f t="shared" si="16"/>
        <v>NACE M - REAL ESTATE ACTIVITIES</v>
      </c>
      <c r="K782" t="s">
        <v>3936</v>
      </c>
    </row>
    <row r="783" spans="1:11" x14ac:dyDescent="0.25">
      <c r="A783" s="231" t="s">
        <v>3937</v>
      </c>
      <c r="B783" t="s">
        <v>3938</v>
      </c>
      <c r="C783" s="235"/>
      <c r="D783" s="231" t="str">
        <f t="shared" si="16"/>
        <v>NACE M - 68 Real estate activities</v>
      </c>
      <c r="K783" t="s">
        <v>3939</v>
      </c>
    </row>
    <row r="784" spans="1:11" x14ac:dyDescent="0.25">
      <c r="A784" s="234" t="s">
        <v>3940</v>
      </c>
      <c r="B784" t="s">
        <v>3941</v>
      </c>
      <c r="C784" s="235"/>
      <c r="D784" s="234" t="str">
        <f t="shared" si="16"/>
        <v>NACE M - 68.1 Real estate activities with own property and development of building projects</v>
      </c>
      <c r="K784" t="s">
        <v>3942</v>
      </c>
    </row>
    <row r="785" spans="1:11" x14ac:dyDescent="0.25">
      <c r="A785" s="235" t="s">
        <v>3943</v>
      </c>
      <c r="B785" t="s">
        <v>3944</v>
      </c>
      <c r="C785" s="235"/>
      <c r="D785" s="235" t="str">
        <f t="shared" si="16"/>
        <v>NACE M - 68.11 Buying and selling of own real estate</v>
      </c>
      <c r="K785" t="s">
        <v>3945</v>
      </c>
    </row>
    <row r="786" spans="1:11" x14ac:dyDescent="0.25">
      <c r="A786" s="235" t="s">
        <v>3946</v>
      </c>
      <c r="B786" t="s">
        <v>3947</v>
      </c>
      <c r="C786" s="235"/>
      <c r="D786" s="235" t="str">
        <f t="shared" si="16"/>
        <v>NACE M - 68.12 Development of building projects</v>
      </c>
      <c r="K786" t="s">
        <v>3948</v>
      </c>
    </row>
    <row r="787" spans="1:11" x14ac:dyDescent="0.25">
      <c r="A787" s="234" t="s">
        <v>3949</v>
      </c>
      <c r="B787" t="s">
        <v>3950</v>
      </c>
      <c r="C787" s="235"/>
      <c r="D787" s="234" t="str">
        <f t="shared" si="16"/>
        <v>NACE M - 68.2 Rental and operating of own or leased real estate</v>
      </c>
      <c r="K787" t="s">
        <v>3951</v>
      </c>
    </row>
    <row r="788" spans="1:11" x14ac:dyDescent="0.25">
      <c r="A788" s="235" t="s">
        <v>3952</v>
      </c>
      <c r="B788" t="s">
        <v>3953</v>
      </c>
      <c r="C788" s="235"/>
      <c r="D788" s="235" t="str">
        <f t="shared" si="16"/>
        <v>NACE M - 68.20 Rental and operating of own or leased real estate</v>
      </c>
      <c r="K788" t="s">
        <v>3954</v>
      </c>
    </row>
    <row r="789" spans="1:11" x14ac:dyDescent="0.25">
      <c r="A789" s="234" t="s">
        <v>3955</v>
      </c>
      <c r="B789" t="s">
        <v>3956</v>
      </c>
      <c r="C789" s="235"/>
      <c r="D789" s="234" t="str">
        <f t="shared" si="16"/>
        <v>NACE M - 68.3 Real estate activities on a fee or contract basis</v>
      </c>
      <c r="K789" t="s">
        <v>3957</v>
      </c>
    </row>
    <row r="790" spans="1:11" x14ac:dyDescent="0.25">
      <c r="A790" s="235" t="s">
        <v>3958</v>
      </c>
      <c r="B790" t="s">
        <v>3959</v>
      </c>
      <c r="C790" s="235"/>
      <c r="D790" s="235" t="str">
        <f t="shared" si="16"/>
        <v>NACE M - 68.31 Intermediation service activities for real estate activities</v>
      </c>
      <c r="K790" t="s">
        <v>3960</v>
      </c>
    </row>
    <row r="791" spans="1:11" x14ac:dyDescent="0.25">
      <c r="A791" s="235" t="s">
        <v>3961</v>
      </c>
      <c r="B791" t="s">
        <v>3962</v>
      </c>
      <c r="C791" s="235"/>
      <c r="D791" s="235" t="str">
        <f t="shared" si="16"/>
        <v>NACE M - 68.32 Other real estate activities on a fee or contract basis</v>
      </c>
      <c r="K791" t="s">
        <v>3963</v>
      </c>
    </row>
    <row r="792" spans="1:11" x14ac:dyDescent="0.25">
      <c r="A792" s="232" t="s">
        <v>3964</v>
      </c>
      <c r="B792" t="s">
        <v>3965</v>
      </c>
      <c r="C792" s="235"/>
      <c r="D792" s="232" t="str">
        <f t="shared" si="16"/>
        <v>NACE N - PROFESSIONAL, SCIENTIFIC AND TECHNICAL ACTIVITIES</v>
      </c>
      <c r="K792" t="s">
        <v>3966</v>
      </c>
    </row>
    <row r="793" spans="1:11" x14ac:dyDescent="0.25">
      <c r="A793" s="231" t="s">
        <v>3967</v>
      </c>
      <c r="B793" t="s">
        <v>3968</v>
      </c>
      <c r="C793" s="235"/>
      <c r="D793" s="231" t="str">
        <f t="shared" si="16"/>
        <v>NACE N - 69 Legal and accounting activities</v>
      </c>
      <c r="K793" t="s">
        <v>3969</v>
      </c>
    </row>
    <row r="794" spans="1:11" x14ac:dyDescent="0.25">
      <c r="A794" s="234" t="s">
        <v>3970</v>
      </c>
      <c r="B794" t="s">
        <v>3971</v>
      </c>
      <c r="C794" s="235"/>
      <c r="D794" s="234" t="str">
        <f t="shared" si="16"/>
        <v>NACE N - 69.1 Legal activities</v>
      </c>
      <c r="K794" t="s">
        <v>3972</v>
      </c>
    </row>
    <row r="795" spans="1:11" x14ac:dyDescent="0.25">
      <c r="A795" s="235" t="s">
        <v>3973</v>
      </c>
      <c r="B795" t="s">
        <v>3974</v>
      </c>
      <c r="C795" s="235"/>
      <c r="D795" s="235" t="str">
        <f t="shared" si="16"/>
        <v>NACE N - 69.10 Legal activities</v>
      </c>
      <c r="K795" t="s">
        <v>3975</v>
      </c>
    </row>
    <row r="796" spans="1:11" x14ac:dyDescent="0.25">
      <c r="A796" s="234" t="s">
        <v>3976</v>
      </c>
      <c r="B796" t="s">
        <v>3977</v>
      </c>
      <c r="C796" s="235"/>
      <c r="D796" s="234" t="str">
        <f t="shared" si="16"/>
        <v>NACE N - 69.2 Accounting, bookkeeping and auditing activities; tax consultancy</v>
      </c>
      <c r="K796" t="s">
        <v>3978</v>
      </c>
    </row>
    <row r="797" spans="1:11" x14ac:dyDescent="0.25">
      <c r="A797" s="235" t="s">
        <v>3979</v>
      </c>
      <c r="B797" t="s">
        <v>3980</v>
      </c>
      <c r="C797" s="235"/>
      <c r="D797" s="235" t="str">
        <f t="shared" si="16"/>
        <v>NACE N - 69.20 Accounting, bookkeeping and auditing activities; tax consultancy</v>
      </c>
      <c r="K797" t="s">
        <v>3981</v>
      </c>
    </row>
    <row r="798" spans="1:11" x14ac:dyDescent="0.25">
      <c r="A798" s="231" t="s">
        <v>3982</v>
      </c>
      <c r="B798" t="s">
        <v>3983</v>
      </c>
      <c r="C798" s="235"/>
      <c r="D798" s="231" t="str">
        <f t="shared" si="16"/>
        <v>NACE N - 70 Activities of head offices and management consultancy</v>
      </c>
      <c r="K798" t="s">
        <v>3984</v>
      </c>
    </row>
    <row r="799" spans="1:11" x14ac:dyDescent="0.25">
      <c r="A799" s="234" t="s">
        <v>3985</v>
      </c>
      <c r="B799" t="s">
        <v>3986</v>
      </c>
      <c r="C799" s="235"/>
      <c r="D799" s="234" t="str">
        <f t="shared" si="16"/>
        <v>NACE N - 70.1 Activities of head offices</v>
      </c>
      <c r="K799" t="s">
        <v>3987</v>
      </c>
    </row>
    <row r="800" spans="1:11" x14ac:dyDescent="0.25">
      <c r="A800" s="235" t="s">
        <v>3988</v>
      </c>
      <c r="B800" t="s">
        <v>3989</v>
      </c>
      <c r="C800" s="235"/>
      <c r="D800" s="235" t="str">
        <f t="shared" si="16"/>
        <v>NACE N - 70.10 Activities of head offices</v>
      </c>
      <c r="K800" t="s">
        <v>3990</v>
      </c>
    </row>
    <row r="801" spans="1:11" x14ac:dyDescent="0.25">
      <c r="A801" s="234" t="s">
        <v>3991</v>
      </c>
      <c r="B801" t="s">
        <v>3992</v>
      </c>
      <c r="C801" s="235"/>
      <c r="D801" s="234" t="str">
        <f t="shared" si="16"/>
        <v>NACE N - 70.2 Business and other management consultancy activities</v>
      </c>
      <c r="K801" t="s">
        <v>3993</v>
      </c>
    </row>
    <row r="802" spans="1:11" x14ac:dyDescent="0.25">
      <c r="A802" s="235" t="s">
        <v>3994</v>
      </c>
      <c r="B802" t="s">
        <v>3995</v>
      </c>
      <c r="C802" s="235"/>
      <c r="D802" s="235" t="str">
        <f t="shared" si="16"/>
        <v>NACE N - 70.20 Business and other management consultancy activities</v>
      </c>
      <c r="K802" t="s">
        <v>3996</v>
      </c>
    </row>
    <row r="803" spans="1:11" x14ac:dyDescent="0.25">
      <c r="A803" s="231" t="s">
        <v>3997</v>
      </c>
      <c r="B803" t="s">
        <v>3998</v>
      </c>
      <c r="C803" s="235"/>
      <c r="D803" s="231" t="str">
        <f t="shared" si="16"/>
        <v>NACE N - 71 Architectural and engineering activities; technical testing and analysis</v>
      </c>
      <c r="K803" t="s">
        <v>3999</v>
      </c>
    </row>
    <row r="804" spans="1:11" x14ac:dyDescent="0.25">
      <c r="A804" s="234" t="s">
        <v>4000</v>
      </c>
      <c r="B804" t="s">
        <v>4001</v>
      </c>
      <c r="C804" s="235"/>
      <c r="D804" s="234" t="str">
        <f t="shared" si="16"/>
        <v>NACE N - 71.1 Architectural and engineering activities and related technical consultancy</v>
      </c>
      <c r="K804" t="s">
        <v>4002</v>
      </c>
    </row>
    <row r="805" spans="1:11" x14ac:dyDescent="0.25">
      <c r="A805" s="235" t="s">
        <v>4003</v>
      </c>
      <c r="B805" t="s">
        <v>4004</v>
      </c>
      <c r="C805" s="235"/>
      <c r="D805" s="235" t="str">
        <f t="shared" si="16"/>
        <v>NACE N - 71.11 Architectural activities</v>
      </c>
      <c r="K805" t="s">
        <v>4005</v>
      </c>
    </row>
    <row r="806" spans="1:11" x14ac:dyDescent="0.25">
      <c r="A806" s="235" t="s">
        <v>4006</v>
      </c>
      <c r="B806" t="s">
        <v>4007</v>
      </c>
      <c r="C806" s="235"/>
      <c r="D806" s="235" t="str">
        <f t="shared" si="16"/>
        <v>NACE N - 71.12 Engineering activities and related technical consultancy</v>
      </c>
      <c r="K806" t="s">
        <v>4008</v>
      </c>
    </row>
    <row r="807" spans="1:11" x14ac:dyDescent="0.25">
      <c r="A807" s="234" t="s">
        <v>4009</v>
      </c>
      <c r="B807" t="s">
        <v>4010</v>
      </c>
      <c r="C807" s="235"/>
      <c r="D807" s="234" t="str">
        <f t="shared" si="16"/>
        <v>NACE N - 71.2 Technical testing and analysis</v>
      </c>
      <c r="K807" t="s">
        <v>4011</v>
      </c>
    </row>
    <row r="808" spans="1:11" x14ac:dyDescent="0.25">
      <c r="A808" s="235" t="s">
        <v>4012</v>
      </c>
      <c r="B808" t="s">
        <v>4013</v>
      </c>
      <c r="C808" s="235"/>
      <c r="D808" s="235" t="str">
        <f t="shared" si="16"/>
        <v>NACE N - 71.20 Technical testing and analysis</v>
      </c>
      <c r="K808" t="s">
        <v>4014</v>
      </c>
    </row>
    <row r="809" spans="1:11" x14ac:dyDescent="0.25">
      <c r="A809" s="231" t="s">
        <v>4015</v>
      </c>
      <c r="B809" t="s">
        <v>4016</v>
      </c>
      <c r="C809" s="235"/>
      <c r="D809" s="231" t="str">
        <f t="shared" si="16"/>
        <v>NACE N - 72 Scientific research and development</v>
      </c>
      <c r="K809" t="s">
        <v>4017</v>
      </c>
    </row>
    <row r="810" spans="1:11" x14ac:dyDescent="0.25">
      <c r="A810" s="234" t="s">
        <v>4018</v>
      </c>
      <c r="B810" t="s">
        <v>4019</v>
      </c>
      <c r="C810" s="235"/>
      <c r="D810" s="234" t="str">
        <f t="shared" si="16"/>
        <v>NACE N - 72.1 Research and experimental development on natural sciences and engineering</v>
      </c>
      <c r="K810" t="s">
        <v>4020</v>
      </c>
    </row>
    <row r="811" spans="1:11" x14ac:dyDescent="0.25">
      <c r="A811" s="235" t="s">
        <v>4021</v>
      </c>
      <c r="B811" t="s">
        <v>4022</v>
      </c>
      <c r="C811" s="235"/>
      <c r="D811" s="235" t="str">
        <f t="shared" si="16"/>
        <v>NACE N - 72.10 Research and experimental development on natural sciences and engineering</v>
      </c>
      <c r="K811" t="s">
        <v>4023</v>
      </c>
    </row>
    <row r="812" spans="1:11" x14ac:dyDescent="0.25">
      <c r="A812" s="234" t="s">
        <v>4024</v>
      </c>
      <c r="B812" t="s">
        <v>4025</v>
      </c>
      <c r="C812" s="235"/>
      <c r="D812" s="234" t="str">
        <f t="shared" si="16"/>
        <v>NACE N - 72.2 Research and experimental development on social sciences and humanities</v>
      </c>
      <c r="K812" t="s">
        <v>4026</v>
      </c>
    </row>
    <row r="813" spans="1:11" x14ac:dyDescent="0.25">
      <c r="A813" s="235" t="s">
        <v>4027</v>
      </c>
      <c r="B813" t="s">
        <v>4028</v>
      </c>
      <c r="C813" s="235"/>
      <c r="D813" s="235" t="str">
        <f t="shared" si="16"/>
        <v>NACE N - 72.20 Research and experimental development on social sciences and humanities</v>
      </c>
      <c r="K813" t="s">
        <v>4029</v>
      </c>
    </row>
    <row r="814" spans="1:11" x14ac:dyDescent="0.25">
      <c r="A814" s="231" t="s">
        <v>4030</v>
      </c>
      <c r="B814" t="s">
        <v>4031</v>
      </c>
      <c r="C814" s="235"/>
      <c r="D814" s="231" t="str">
        <f t="shared" si="16"/>
        <v>NACE N - 73 Activities of advertising, market research and public relations</v>
      </c>
      <c r="K814" t="s">
        <v>4032</v>
      </c>
    </row>
    <row r="815" spans="1:11" x14ac:dyDescent="0.25">
      <c r="A815" s="234" t="s">
        <v>4033</v>
      </c>
      <c r="B815" t="s">
        <v>4034</v>
      </c>
      <c r="C815" s="235"/>
      <c r="D815" s="234" t="str">
        <f t="shared" si="16"/>
        <v>NACE N - 73.1 Advertising</v>
      </c>
      <c r="K815" t="s">
        <v>4035</v>
      </c>
    </row>
    <row r="816" spans="1:11" x14ac:dyDescent="0.25">
      <c r="A816" s="235" t="s">
        <v>4036</v>
      </c>
      <c r="B816" t="s">
        <v>4037</v>
      </c>
      <c r="C816" s="235"/>
      <c r="D816" s="235" t="str">
        <f t="shared" si="16"/>
        <v>NACE N - 73.11 Activities of advertising agencies</v>
      </c>
      <c r="K816" t="s">
        <v>4038</v>
      </c>
    </row>
    <row r="817" spans="1:11" x14ac:dyDescent="0.25">
      <c r="A817" s="235" t="s">
        <v>4039</v>
      </c>
      <c r="B817" t="s">
        <v>4040</v>
      </c>
      <c r="C817" s="235"/>
      <c r="D817" s="235" t="str">
        <f t="shared" si="16"/>
        <v>NACE N - 73.12 Media representation</v>
      </c>
      <c r="K817" t="s">
        <v>4041</v>
      </c>
    </row>
    <row r="818" spans="1:11" x14ac:dyDescent="0.25">
      <c r="A818" s="234" t="s">
        <v>4042</v>
      </c>
      <c r="B818" t="s">
        <v>4043</v>
      </c>
      <c r="C818" s="235"/>
      <c r="D818" s="234" t="str">
        <f t="shared" si="16"/>
        <v>NACE N - 73.2 Market research and public opinion polling</v>
      </c>
      <c r="K818" t="s">
        <v>4044</v>
      </c>
    </row>
    <row r="819" spans="1:11" x14ac:dyDescent="0.25">
      <c r="A819" s="235" t="s">
        <v>4045</v>
      </c>
      <c r="B819" t="s">
        <v>4046</v>
      </c>
      <c r="C819" s="235"/>
      <c r="D819" s="235" t="str">
        <f t="shared" si="16"/>
        <v>NACE N - 73.20 Market research and public opinion polling</v>
      </c>
      <c r="K819" t="s">
        <v>4047</v>
      </c>
    </row>
    <row r="820" spans="1:11" x14ac:dyDescent="0.25">
      <c r="A820" s="234" t="s">
        <v>4048</v>
      </c>
      <c r="B820" t="s">
        <v>4049</v>
      </c>
      <c r="C820" s="235"/>
      <c r="D820" s="234" t="str">
        <f t="shared" si="16"/>
        <v>NACE N - 73.3 Public relations and communication activities</v>
      </c>
      <c r="K820" t="s">
        <v>4050</v>
      </c>
    </row>
    <row r="821" spans="1:11" x14ac:dyDescent="0.25">
      <c r="A821" s="235" t="s">
        <v>4051</v>
      </c>
      <c r="B821" t="s">
        <v>4052</v>
      </c>
      <c r="C821" s="235"/>
      <c r="D821" s="235" t="str">
        <f t="shared" si="16"/>
        <v>NACE N - 73.30 Public relations and communication activities</v>
      </c>
      <c r="K821" t="s">
        <v>4053</v>
      </c>
    </row>
    <row r="822" spans="1:11" x14ac:dyDescent="0.25">
      <c r="A822" s="231" t="s">
        <v>4054</v>
      </c>
      <c r="B822" t="s">
        <v>4055</v>
      </c>
      <c r="C822" s="235"/>
      <c r="D822" s="231" t="str">
        <f t="shared" si="16"/>
        <v>NACE N - 74 Other professional, scientific and technical activities</v>
      </c>
      <c r="K822" t="s">
        <v>4056</v>
      </c>
    </row>
    <row r="823" spans="1:11" x14ac:dyDescent="0.25">
      <c r="A823" s="234" t="s">
        <v>4057</v>
      </c>
      <c r="B823" t="s">
        <v>4058</v>
      </c>
      <c r="C823" s="235"/>
      <c r="D823" s="234" t="str">
        <f t="shared" si="16"/>
        <v>NACE N - 74.1 Specialised design activities</v>
      </c>
      <c r="K823" t="s">
        <v>4059</v>
      </c>
    </row>
    <row r="824" spans="1:11" x14ac:dyDescent="0.25">
      <c r="A824" s="235" t="s">
        <v>4060</v>
      </c>
      <c r="B824" t="s">
        <v>4061</v>
      </c>
      <c r="C824" s="235"/>
      <c r="D824" s="235" t="str">
        <f t="shared" si="16"/>
        <v>NACE N - 74.11 Industrial product and fashion design activities</v>
      </c>
      <c r="K824" t="s">
        <v>4062</v>
      </c>
    </row>
    <row r="825" spans="1:11" x14ac:dyDescent="0.25">
      <c r="A825" s="235" t="s">
        <v>4063</v>
      </c>
      <c r="B825" t="s">
        <v>4064</v>
      </c>
      <c r="C825" s="235"/>
      <c r="D825" s="235" t="str">
        <f t="shared" si="16"/>
        <v>NACE N - 74.12 Graphic design and visual communication activities</v>
      </c>
      <c r="K825" t="s">
        <v>4065</v>
      </c>
    </row>
    <row r="826" spans="1:11" x14ac:dyDescent="0.25">
      <c r="A826" s="235" t="s">
        <v>4066</v>
      </c>
      <c r="B826" t="s">
        <v>4067</v>
      </c>
      <c r="C826" s="235"/>
      <c r="D826" s="235" t="str">
        <f t="shared" si="16"/>
        <v>NACE N - 74.13 Interior design activities</v>
      </c>
      <c r="K826" t="s">
        <v>4068</v>
      </c>
    </row>
    <row r="827" spans="1:11" x14ac:dyDescent="0.25">
      <c r="A827" s="235" t="s">
        <v>4069</v>
      </c>
      <c r="B827" t="s">
        <v>4070</v>
      </c>
      <c r="C827" s="235"/>
      <c r="D827" s="235" t="str">
        <f t="shared" si="16"/>
        <v>NACE N - 74.14 Other specialised design activities</v>
      </c>
      <c r="K827" t="s">
        <v>4071</v>
      </c>
    </row>
    <row r="828" spans="1:11" x14ac:dyDescent="0.25">
      <c r="A828" s="234" t="s">
        <v>4072</v>
      </c>
      <c r="B828" t="s">
        <v>4073</v>
      </c>
      <c r="C828" s="235"/>
      <c r="D828" s="234" t="str">
        <f t="shared" si="16"/>
        <v>NACE N - 74.2 Photographic activities</v>
      </c>
      <c r="K828" t="s">
        <v>4074</v>
      </c>
    </row>
    <row r="829" spans="1:11" x14ac:dyDescent="0.25">
      <c r="A829" s="235" t="s">
        <v>4075</v>
      </c>
      <c r="B829" t="s">
        <v>4076</v>
      </c>
      <c r="C829" s="235"/>
      <c r="D829" s="235" t="str">
        <f t="shared" si="16"/>
        <v>NACE N - 74.20 Photographic activities</v>
      </c>
      <c r="K829" t="s">
        <v>4077</v>
      </c>
    </row>
    <row r="830" spans="1:11" x14ac:dyDescent="0.25">
      <c r="A830" s="234" t="s">
        <v>4078</v>
      </c>
      <c r="B830" t="s">
        <v>4079</v>
      </c>
      <c r="C830" s="235"/>
      <c r="D830" s="234" t="str">
        <f t="shared" si="16"/>
        <v>NACE N - 74.3 Translation and interpretation activities</v>
      </c>
      <c r="K830" t="s">
        <v>4080</v>
      </c>
    </row>
    <row r="831" spans="1:11" x14ac:dyDescent="0.25">
      <c r="A831" s="235" t="s">
        <v>4081</v>
      </c>
      <c r="B831" t="s">
        <v>4082</v>
      </c>
      <c r="C831" s="235"/>
      <c r="D831" s="235" t="str">
        <f t="shared" si="16"/>
        <v>NACE N - 74.30 Translation and interpretation activities</v>
      </c>
      <c r="K831" t="s">
        <v>4083</v>
      </c>
    </row>
    <row r="832" spans="1:11" x14ac:dyDescent="0.25">
      <c r="A832" s="234" t="s">
        <v>4084</v>
      </c>
      <c r="B832" t="s">
        <v>4085</v>
      </c>
      <c r="C832" s="235"/>
      <c r="D832" s="234" t="str">
        <f t="shared" si="16"/>
        <v>NACE N - 74.9 Other professional, scientific and technical activities n.e.c.</v>
      </c>
      <c r="K832" t="s">
        <v>4086</v>
      </c>
    </row>
    <row r="833" spans="1:11" x14ac:dyDescent="0.25">
      <c r="A833" s="235" t="s">
        <v>4087</v>
      </c>
      <c r="B833" t="s">
        <v>4088</v>
      </c>
      <c r="C833" s="235"/>
      <c r="D833" s="235" t="str">
        <f t="shared" si="16"/>
        <v>NACE N - 74.91 Patent brokering and marketing service activities</v>
      </c>
      <c r="K833" t="s">
        <v>4089</v>
      </c>
    </row>
    <row r="834" spans="1:11" x14ac:dyDescent="0.25">
      <c r="A834" s="235" t="s">
        <v>4090</v>
      </c>
      <c r="B834" t="s">
        <v>4091</v>
      </c>
      <c r="C834" s="235"/>
      <c r="D834" s="235" t="str">
        <f t="shared" ref="D834:D897" si="17">_xlfn.CONCAT("NACE ", A834)</f>
        <v>NACE N - 74.99 All other professional, scientific and technical activities n.e.c.</v>
      </c>
      <c r="K834" t="s">
        <v>4092</v>
      </c>
    </row>
    <row r="835" spans="1:11" x14ac:dyDescent="0.25">
      <c r="A835" s="231" t="s">
        <v>4093</v>
      </c>
      <c r="B835" t="s">
        <v>4094</v>
      </c>
      <c r="C835" s="235"/>
      <c r="D835" s="231" t="str">
        <f t="shared" si="17"/>
        <v>NACE N - 75 Veterinary activities</v>
      </c>
      <c r="K835" t="s">
        <v>4095</v>
      </c>
    </row>
    <row r="836" spans="1:11" x14ac:dyDescent="0.25">
      <c r="A836" s="234" t="s">
        <v>4096</v>
      </c>
      <c r="B836" t="s">
        <v>4097</v>
      </c>
      <c r="C836" s="235"/>
      <c r="D836" s="234" t="str">
        <f t="shared" si="17"/>
        <v>NACE N - 75.0 Veterinary activities</v>
      </c>
      <c r="K836" t="s">
        <v>4098</v>
      </c>
    </row>
    <row r="837" spans="1:11" x14ac:dyDescent="0.25">
      <c r="A837" s="235" t="s">
        <v>4099</v>
      </c>
      <c r="B837" t="s">
        <v>4100</v>
      </c>
      <c r="C837" s="235"/>
      <c r="D837" s="235" t="str">
        <f t="shared" si="17"/>
        <v>NACE N - 75.00 Veterinary activities</v>
      </c>
      <c r="K837" t="s">
        <v>4101</v>
      </c>
    </row>
    <row r="838" spans="1:11" x14ac:dyDescent="0.25">
      <c r="A838" s="232" t="s">
        <v>4102</v>
      </c>
      <c r="B838" t="s">
        <v>4103</v>
      </c>
      <c r="C838" s="235"/>
      <c r="D838" s="232" t="str">
        <f t="shared" si="17"/>
        <v>NACE O - ADMINISTRATIVE AND SUPPORT SERVICE ACTIVITIES</v>
      </c>
      <c r="K838" t="s">
        <v>4104</v>
      </c>
    </row>
    <row r="839" spans="1:11" x14ac:dyDescent="0.25">
      <c r="A839" s="231" t="s">
        <v>4105</v>
      </c>
      <c r="B839" t="s">
        <v>4106</v>
      </c>
      <c r="C839" s="235"/>
      <c r="D839" s="231" t="str">
        <f t="shared" si="17"/>
        <v>NACE O - 77 Rental and leasing activities</v>
      </c>
      <c r="K839" t="s">
        <v>4107</v>
      </c>
    </row>
    <row r="840" spans="1:11" x14ac:dyDescent="0.25">
      <c r="A840" s="234" t="s">
        <v>4108</v>
      </c>
      <c r="B840" t="s">
        <v>4109</v>
      </c>
      <c r="C840" s="235"/>
      <c r="D840" s="234" t="str">
        <f t="shared" si="17"/>
        <v>NACE O - 77.1 Rental and leasing of motor vehicles</v>
      </c>
      <c r="K840" t="s">
        <v>4110</v>
      </c>
    </row>
    <row r="841" spans="1:11" x14ac:dyDescent="0.25">
      <c r="A841" s="235" t="s">
        <v>4111</v>
      </c>
      <c r="B841" t="s">
        <v>4112</v>
      </c>
      <c r="C841" s="235"/>
      <c r="D841" s="235" t="str">
        <f t="shared" si="17"/>
        <v>NACE O - 77.11 Rental and leasing of cars and light motor vehicles</v>
      </c>
      <c r="K841" t="s">
        <v>4113</v>
      </c>
    </row>
    <row r="842" spans="1:11" x14ac:dyDescent="0.25">
      <c r="A842" s="235" t="s">
        <v>4114</v>
      </c>
      <c r="B842" t="s">
        <v>4115</v>
      </c>
      <c r="C842" s="235"/>
      <c r="D842" s="235" t="str">
        <f t="shared" si="17"/>
        <v>NACE O - 77.12 Rental and leasing of trucks</v>
      </c>
      <c r="K842" t="s">
        <v>4116</v>
      </c>
    </row>
    <row r="843" spans="1:11" x14ac:dyDescent="0.25">
      <c r="A843" s="234" t="s">
        <v>4117</v>
      </c>
      <c r="B843" t="s">
        <v>4118</v>
      </c>
      <c r="C843" s="235"/>
      <c r="D843" s="234" t="str">
        <f t="shared" si="17"/>
        <v>NACE O - 77.2 Rental and leasing of personal and household goods</v>
      </c>
      <c r="K843" t="s">
        <v>4119</v>
      </c>
    </row>
    <row r="844" spans="1:11" x14ac:dyDescent="0.25">
      <c r="A844" s="235" t="s">
        <v>4120</v>
      </c>
      <c r="B844" t="s">
        <v>4121</v>
      </c>
      <c r="C844" s="235"/>
      <c r="D844" s="235" t="str">
        <f t="shared" si="17"/>
        <v>NACE O - 77.21 Rental and leasing of recreational and sports goods</v>
      </c>
      <c r="K844" t="s">
        <v>4122</v>
      </c>
    </row>
    <row r="845" spans="1:11" x14ac:dyDescent="0.25">
      <c r="A845" s="235" t="s">
        <v>4123</v>
      </c>
      <c r="B845" t="s">
        <v>4124</v>
      </c>
      <c r="C845" s="235"/>
      <c r="D845" s="235" t="str">
        <f t="shared" si="17"/>
        <v>NACE O - 77.22 Rental and leasing of other personal and household goods</v>
      </c>
      <c r="K845" t="s">
        <v>4125</v>
      </c>
    </row>
    <row r="846" spans="1:11" x14ac:dyDescent="0.25">
      <c r="A846" s="234" t="s">
        <v>4126</v>
      </c>
      <c r="B846" t="s">
        <v>4127</v>
      </c>
      <c r="C846" s="235"/>
      <c r="D846" s="234" t="str">
        <f t="shared" si="17"/>
        <v>NACE O - 77.3 Rental and leasing of other machinery, equipment and tangible goods</v>
      </c>
      <c r="K846" t="s">
        <v>4128</v>
      </c>
    </row>
    <row r="847" spans="1:11" x14ac:dyDescent="0.25">
      <c r="A847" s="235" t="s">
        <v>4129</v>
      </c>
      <c r="B847" t="s">
        <v>4130</v>
      </c>
      <c r="C847" s="235"/>
      <c r="D847" s="235" t="str">
        <f t="shared" si="17"/>
        <v>NACE O - 77.31 Rental and leasing of agricultural machinery and equipment</v>
      </c>
      <c r="K847" t="s">
        <v>4131</v>
      </c>
    </row>
    <row r="848" spans="1:11" x14ac:dyDescent="0.25">
      <c r="A848" s="235" t="s">
        <v>4132</v>
      </c>
      <c r="B848" t="s">
        <v>4133</v>
      </c>
      <c r="C848" s="235"/>
      <c r="D848" s="235" t="str">
        <f t="shared" si="17"/>
        <v>NACE O - 77.32 Rental and leasing of construction and civil engineering machinery and equipment</v>
      </c>
      <c r="K848" t="s">
        <v>4134</v>
      </c>
    </row>
    <row r="849" spans="1:11" x14ac:dyDescent="0.25">
      <c r="A849" s="235" t="s">
        <v>4135</v>
      </c>
      <c r="B849" t="s">
        <v>4136</v>
      </c>
      <c r="C849" s="235"/>
      <c r="D849" s="235" t="str">
        <f t="shared" si="17"/>
        <v>NACE O - 77.33 Rental and leasing of office machinery, equipment and computers</v>
      </c>
      <c r="K849" t="s">
        <v>4137</v>
      </c>
    </row>
    <row r="850" spans="1:11" x14ac:dyDescent="0.25">
      <c r="A850" s="235" t="s">
        <v>4138</v>
      </c>
      <c r="B850" t="s">
        <v>4139</v>
      </c>
      <c r="C850" s="235"/>
      <c r="D850" s="235" t="str">
        <f t="shared" si="17"/>
        <v>NACE O - 77.34 Rental and leasing of water transport equipment</v>
      </c>
      <c r="K850" t="s">
        <v>4140</v>
      </c>
    </row>
    <row r="851" spans="1:11" x14ac:dyDescent="0.25">
      <c r="A851" s="235" t="s">
        <v>4141</v>
      </c>
      <c r="B851" t="s">
        <v>4142</v>
      </c>
      <c r="C851" s="235"/>
      <c r="D851" s="235" t="str">
        <f t="shared" si="17"/>
        <v>NACE O - 77.35 Rental and leasing of air transport equipment</v>
      </c>
      <c r="K851" t="s">
        <v>4143</v>
      </c>
    </row>
    <row r="852" spans="1:11" x14ac:dyDescent="0.25">
      <c r="A852" s="235" t="s">
        <v>4144</v>
      </c>
      <c r="B852" t="s">
        <v>4145</v>
      </c>
      <c r="C852" s="235"/>
      <c r="D852" s="235" t="str">
        <f t="shared" si="17"/>
        <v>NACE O - 77.39 Rental and leasing of other machinery, equipment and tangible goods n.e.c.</v>
      </c>
      <c r="K852" t="s">
        <v>4146</v>
      </c>
    </row>
    <row r="853" spans="1:11" x14ac:dyDescent="0.25">
      <c r="A853" s="234" t="s">
        <v>4147</v>
      </c>
      <c r="B853" t="s">
        <v>4148</v>
      </c>
      <c r="C853" s="235"/>
      <c r="D853" s="234" t="str">
        <f t="shared" si="17"/>
        <v>NACE O - 77.4 Leasing of intellectual property and similar products, except copyrighted works</v>
      </c>
      <c r="K853" t="s">
        <v>4149</v>
      </c>
    </row>
    <row r="854" spans="1:11" x14ac:dyDescent="0.25">
      <c r="A854" s="235" t="s">
        <v>4150</v>
      </c>
      <c r="B854" t="s">
        <v>4151</v>
      </c>
      <c r="C854" s="235"/>
      <c r="D854" s="235" t="str">
        <f t="shared" si="17"/>
        <v>NACE O - 77.40 Leasing of intellectual property and similar products, except copyrighted works</v>
      </c>
      <c r="K854" t="s">
        <v>4152</v>
      </c>
    </row>
    <row r="855" spans="1:11" x14ac:dyDescent="0.25">
      <c r="A855" s="234" t="s">
        <v>4153</v>
      </c>
      <c r="B855" t="s">
        <v>4154</v>
      </c>
      <c r="C855" s="235"/>
      <c r="D855" s="234" t="str">
        <f t="shared" si="17"/>
        <v>NACE O - 77.5 Intermediation service activities for rental and leasing of tangible goods and non-financial intangible assets</v>
      </c>
      <c r="K855" t="s">
        <v>4155</v>
      </c>
    </row>
    <row r="856" spans="1:11" x14ac:dyDescent="0.25">
      <c r="A856" s="235" t="s">
        <v>4156</v>
      </c>
      <c r="B856" t="s">
        <v>4157</v>
      </c>
      <c r="C856" s="235"/>
      <c r="D856" s="235" t="str">
        <f t="shared" si="17"/>
        <v>NACE O - 77.51 Intermediation service activities for rental and leasing of cars, motorhomes and trailers</v>
      </c>
      <c r="K856" t="s">
        <v>4158</v>
      </c>
    </row>
    <row r="857" spans="1:11" x14ac:dyDescent="0.25">
      <c r="A857" s="235" t="s">
        <v>4159</v>
      </c>
      <c r="B857" t="s">
        <v>4160</v>
      </c>
      <c r="C857" s="235"/>
      <c r="D857" s="235" t="str">
        <f t="shared" si="17"/>
        <v>NACE O - 77.52 Intermediation service activities for rental and leasing of other tangible goods and non-financial intangible assets</v>
      </c>
      <c r="K857" t="s">
        <v>4161</v>
      </c>
    </row>
    <row r="858" spans="1:11" x14ac:dyDescent="0.25">
      <c r="A858" s="231" t="s">
        <v>4162</v>
      </c>
      <c r="B858" t="s">
        <v>4163</v>
      </c>
      <c r="C858" s="235"/>
      <c r="D858" s="231" t="str">
        <f t="shared" si="17"/>
        <v>NACE O - 78 Employment activities</v>
      </c>
      <c r="K858" t="s">
        <v>4164</v>
      </c>
    </row>
    <row r="859" spans="1:11" x14ac:dyDescent="0.25">
      <c r="A859" s="234" t="s">
        <v>4165</v>
      </c>
      <c r="B859" t="s">
        <v>4166</v>
      </c>
      <c r="C859" s="235"/>
      <c r="D859" s="234" t="str">
        <f t="shared" si="17"/>
        <v>NACE O - 78.1 Activities of employment placement agencies</v>
      </c>
      <c r="K859" t="s">
        <v>4167</v>
      </c>
    </row>
    <row r="860" spans="1:11" x14ac:dyDescent="0.25">
      <c r="A860" s="235" t="s">
        <v>4168</v>
      </c>
      <c r="B860" t="s">
        <v>4169</v>
      </c>
      <c r="C860" s="235"/>
      <c r="D860" s="235" t="str">
        <f t="shared" si="17"/>
        <v>NACE O - 78.10 Activities of employment placement agencies</v>
      </c>
      <c r="K860" t="s">
        <v>4170</v>
      </c>
    </row>
    <row r="861" spans="1:11" x14ac:dyDescent="0.25">
      <c r="A861" s="234" t="s">
        <v>4171</v>
      </c>
      <c r="B861" t="s">
        <v>4172</v>
      </c>
      <c r="C861" s="235"/>
      <c r="D861" s="234" t="str">
        <f t="shared" si="17"/>
        <v>NACE O - 78.2 Temporary employment agency activities and other human resource provisions</v>
      </c>
      <c r="K861" t="s">
        <v>4173</v>
      </c>
    </row>
    <row r="862" spans="1:11" x14ac:dyDescent="0.25">
      <c r="A862" s="235" t="s">
        <v>4174</v>
      </c>
      <c r="B862" t="s">
        <v>4175</v>
      </c>
      <c r="C862" s="235"/>
      <c r="D862" s="235" t="str">
        <f t="shared" si="17"/>
        <v>NACE O - 78.20 Temporary employment agency activities and other human resource provisions</v>
      </c>
      <c r="K862" t="s">
        <v>4176</v>
      </c>
    </row>
    <row r="863" spans="1:11" x14ac:dyDescent="0.25">
      <c r="A863" s="231" t="s">
        <v>4177</v>
      </c>
      <c r="B863" t="s">
        <v>4178</v>
      </c>
      <c r="C863" s="235"/>
      <c r="D863" s="231" t="str">
        <f t="shared" si="17"/>
        <v>NACE O - 79 Travel agency, tour operator and other reservation service and related activities</v>
      </c>
      <c r="K863" t="s">
        <v>4179</v>
      </c>
    </row>
    <row r="864" spans="1:11" x14ac:dyDescent="0.25">
      <c r="A864" s="234" t="s">
        <v>4180</v>
      </c>
      <c r="B864" t="s">
        <v>4181</v>
      </c>
      <c r="C864" s="235"/>
      <c r="D864" s="234" t="str">
        <f t="shared" si="17"/>
        <v>NACE O - 79.1 Travel agency and tour operator activities</v>
      </c>
      <c r="K864" t="s">
        <v>4182</v>
      </c>
    </row>
    <row r="865" spans="1:11" x14ac:dyDescent="0.25">
      <c r="A865" s="235" t="s">
        <v>4183</v>
      </c>
      <c r="B865" t="s">
        <v>4184</v>
      </c>
      <c r="C865" s="235"/>
      <c r="D865" s="235" t="str">
        <f t="shared" si="17"/>
        <v>NACE O - 79.11 Travel agency activities</v>
      </c>
      <c r="K865" t="s">
        <v>4185</v>
      </c>
    </row>
    <row r="866" spans="1:11" x14ac:dyDescent="0.25">
      <c r="A866" s="235" t="s">
        <v>4186</v>
      </c>
      <c r="B866" t="s">
        <v>4187</v>
      </c>
      <c r="C866" s="235"/>
      <c r="D866" s="235" t="str">
        <f t="shared" si="17"/>
        <v>NACE O - 79.12 Tour operator activities</v>
      </c>
      <c r="K866" t="s">
        <v>4188</v>
      </c>
    </row>
    <row r="867" spans="1:11" x14ac:dyDescent="0.25">
      <c r="A867" s="234" t="s">
        <v>4189</v>
      </c>
      <c r="B867" t="s">
        <v>4190</v>
      </c>
      <c r="C867" s="235"/>
      <c r="D867" s="234" t="str">
        <f t="shared" si="17"/>
        <v>NACE O - 79.9 Other reservation service and related activities</v>
      </c>
      <c r="K867" t="s">
        <v>4191</v>
      </c>
    </row>
    <row r="868" spans="1:11" x14ac:dyDescent="0.25">
      <c r="A868" s="235" t="s">
        <v>4192</v>
      </c>
      <c r="B868" t="s">
        <v>4193</v>
      </c>
      <c r="C868" s="235"/>
      <c r="D868" s="235" t="str">
        <f t="shared" si="17"/>
        <v>NACE O - 79.90 Other reservation service and related activities</v>
      </c>
      <c r="K868" t="s">
        <v>4194</v>
      </c>
    </row>
    <row r="869" spans="1:11" x14ac:dyDescent="0.25">
      <c r="A869" s="231" t="s">
        <v>4195</v>
      </c>
      <c r="B869" t="s">
        <v>4196</v>
      </c>
      <c r="C869" s="235"/>
      <c r="D869" s="231" t="str">
        <f t="shared" si="17"/>
        <v>NACE O - 80 Investigation and security activities</v>
      </c>
      <c r="K869" t="s">
        <v>4197</v>
      </c>
    </row>
    <row r="870" spans="1:11" x14ac:dyDescent="0.25">
      <c r="A870" s="234" t="s">
        <v>4198</v>
      </c>
      <c r="B870" t="s">
        <v>4199</v>
      </c>
      <c r="C870" s="235"/>
      <c r="D870" s="234" t="str">
        <f t="shared" si="17"/>
        <v>NACE O - 80.0 Investigation and security activities</v>
      </c>
      <c r="K870" t="s">
        <v>4200</v>
      </c>
    </row>
    <row r="871" spans="1:11" x14ac:dyDescent="0.25">
      <c r="A871" s="235" t="s">
        <v>4201</v>
      </c>
      <c r="B871" t="s">
        <v>4202</v>
      </c>
      <c r="C871" s="235"/>
      <c r="D871" s="235" t="str">
        <f t="shared" si="17"/>
        <v>NACE O - 80.01 Investigation and private security activities</v>
      </c>
      <c r="K871" t="s">
        <v>4203</v>
      </c>
    </row>
    <row r="872" spans="1:11" x14ac:dyDescent="0.25">
      <c r="A872" s="235" t="s">
        <v>4204</v>
      </c>
      <c r="B872" t="s">
        <v>4205</v>
      </c>
      <c r="C872" s="235"/>
      <c r="D872" s="235" t="str">
        <f t="shared" si="17"/>
        <v>NACE O - 80.09 Security activities n.e.c.</v>
      </c>
      <c r="K872" t="s">
        <v>4206</v>
      </c>
    </row>
    <row r="873" spans="1:11" x14ac:dyDescent="0.25">
      <c r="A873" s="231" t="s">
        <v>4207</v>
      </c>
      <c r="B873" t="s">
        <v>4208</v>
      </c>
      <c r="C873" s="235"/>
      <c r="D873" s="231" t="str">
        <f t="shared" si="17"/>
        <v>NACE O - 81 Services to buildings and landscape activities</v>
      </c>
      <c r="K873" t="s">
        <v>4209</v>
      </c>
    </row>
    <row r="874" spans="1:11" x14ac:dyDescent="0.25">
      <c r="A874" s="234" t="s">
        <v>4210</v>
      </c>
      <c r="B874" t="s">
        <v>4211</v>
      </c>
      <c r="C874" s="235"/>
      <c r="D874" s="234" t="str">
        <f t="shared" si="17"/>
        <v>NACE O - 81.1 Combined facilities support activities</v>
      </c>
      <c r="K874" t="s">
        <v>4212</v>
      </c>
    </row>
    <row r="875" spans="1:11" x14ac:dyDescent="0.25">
      <c r="A875" s="235" t="s">
        <v>4213</v>
      </c>
      <c r="B875" t="s">
        <v>4214</v>
      </c>
      <c r="C875" s="235"/>
      <c r="D875" s="235" t="str">
        <f t="shared" si="17"/>
        <v>NACE O - 81.10 Combined facilities support activities</v>
      </c>
      <c r="K875" t="s">
        <v>4215</v>
      </c>
    </row>
    <row r="876" spans="1:11" x14ac:dyDescent="0.25">
      <c r="A876" s="234" t="s">
        <v>4216</v>
      </c>
      <c r="B876" t="s">
        <v>4217</v>
      </c>
      <c r="C876" s="235"/>
      <c r="D876" s="234" t="str">
        <f t="shared" si="17"/>
        <v>NACE O - 81.2 Cleaning activities</v>
      </c>
      <c r="K876" t="s">
        <v>4218</v>
      </c>
    </row>
    <row r="877" spans="1:11" x14ac:dyDescent="0.25">
      <c r="A877" s="235" t="s">
        <v>4219</v>
      </c>
      <c r="B877" t="s">
        <v>4220</v>
      </c>
      <c r="C877" s="235"/>
      <c r="D877" s="235" t="str">
        <f t="shared" si="17"/>
        <v>NACE O - 81.21 General cleaning of buildings</v>
      </c>
      <c r="K877" t="s">
        <v>4221</v>
      </c>
    </row>
    <row r="878" spans="1:11" x14ac:dyDescent="0.25">
      <c r="A878" s="235" t="s">
        <v>4222</v>
      </c>
      <c r="B878" t="s">
        <v>4223</v>
      </c>
      <c r="C878" s="235"/>
      <c r="D878" s="235" t="str">
        <f t="shared" si="17"/>
        <v>NACE O - 81.22 Other building and industrial cleaning activities</v>
      </c>
      <c r="K878" t="s">
        <v>4224</v>
      </c>
    </row>
    <row r="879" spans="1:11" x14ac:dyDescent="0.25">
      <c r="A879" s="235" t="s">
        <v>4225</v>
      </c>
      <c r="B879" t="s">
        <v>4226</v>
      </c>
      <c r="C879" s="235"/>
      <c r="D879" s="235" t="str">
        <f t="shared" si="17"/>
        <v>NACE O - 81.23 Other cleaning activities</v>
      </c>
      <c r="K879" t="s">
        <v>4227</v>
      </c>
    </row>
    <row r="880" spans="1:11" x14ac:dyDescent="0.25">
      <c r="A880" s="234" t="s">
        <v>4228</v>
      </c>
      <c r="B880" t="s">
        <v>4229</v>
      </c>
      <c r="C880" s="235"/>
      <c r="D880" s="234" t="str">
        <f t="shared" si="17"/>
        <v>NACE O - 81.3 Landscape service activities</v>
      </c>
      <c r="K880" t="s">
        <v>4230</v>
      </c>
    </row>
    <row r="881" spans="1:11" x14ac:dyDescent="0.25">
      <c r="A881" s="235" t="s">
        <v>4231</v>
      </c>
      <c r="B881" t="s">
        <v>4232</v>
      </c>
      <c r="C881" s="235"/>
      <c r="D881" s="235" t="str">
        <f t="shared" si="17"/>
        <v>NACE O - 81.30 Landscape service activities</v>
      </c>
      <c r="K881" t="s">
        <v>4233</v>
      </c>
    </row>
    <row r="882" spans="1:11" x14ac:dyDescent="0.25">
      <c r="A882" s="231" t="s">
        <v>4234</v>
      </c>
      <c r="B882" t="s">
        <v>4235</v>
      </c>
      <c r="C882" s="235"/>
      <c r="D882" s="231" t="str">
        <f t="shared" si="17"/>
        <v>NACE O - 82 Office administrative, office support and other business support activities</v>
      </c>
      <c r="K882" t="s">
        <v>4236</v>
      </c>
    </row>
    <row r="883" spans="1:11" x14ac:dyDescent="0.25">
      <c r="A883" s="234" t="s">
        <v>4237</v>
      </c>
      <c r="B883" t="s">
        <v>4238</v>
      </c>
      <c r="C883" s="235"/>
      <c r="D883" s="234" t="str">
        <f t="shared" si="17"/>
        <v>NACE O - 82.1 Office administrative and support activities</v>
      </c>
      <c r="K883" t="s">
        <v>4239</v>
      </c>
    </row>
    <row r="884" spans="1:11" x14ac:dyDescent="0.25">
      <c r="A884" s="235" t="s">
        <v>4240</v>
      </c>
      <c r="B884" t="s">
        <v>4241</v>
      </c>
      <c r="C884" s="235"/>
      <c r="D884" s="235" t="str">
        <f t="shared" si="17"/>
        <v>NACE O - 82.10 Office administrative and support activities</v>
      </c>
      <c r="K884" t="s">
        <v>4242</v>
      </c>
    </row>
    <row r="885" spans="1:11" x14ac:dyDescent="0.25">
      <c r="A885" s="234" t="s">
        <v>4243</v>
      </c>
      <c r="B885" t="s">
        <v>4244</v>
      </c>
      <c r="C885" s="235"/>
      <c r="D885" s="234" t="str">
        <f t="shared" si="17"/>
        <v>NACE O - 82.2 Activities of call centres</v>
      </c>
      <c r="K885" t="s">
        <v>4245</v>
      </c>
    </row>
    <row r="886" spans="1:11" x14ac:dyDescent="0.25">
      <c r="A886" s="235" t="s">
        <v>4246</v>
      </c>
      <c r="B886" t="s">
        <v>4247</v>
      </c>
      <c r="C886" s="235"/>
      <c r="D886" s="235" t="str">
        <f t="shared" si="17"/>
        <v>NACE O - 82.20 Activities of call centres</v>
      </c>
      <c r="K886" t="s">
        <v>4248</v>
      </c>
    </row>
    <row r="887" spans="1:11" x14ac:dyDescent="0.25">
      <c r="A887" s="234" t="s">
        <v>4249</v>
      </c>
      <c r="B887" t="s">
        <v>4250</v>
      </c>
      <c r="C887" s="235"/>
      <c r="D887" s="234" t="str">
        <f t="shared" si="17"/>
        <v>NACE O - 82.3 Organisation of conventions and trade shows</v>
      </c>
      <c r="K887" t="s">
        <v>4251</v>
      </c>
    </row>
    <row r="888" spans="1:11" x14ac:dyDescent="0.25">
      <c r="A888" s="235" t="s">
        <v>4252</v>
      </c>
      <c r="B888" t="s">
        <v>4253</v>
      </c>
      <c r="C888" s="235"/>
      <c r="D888" s="235" t="str">
        <f t="shared" si="17"/>
        <v>NACE O - 82.30 Organisation of conventions and trade shows</v>
      </c>
      <c r="K888" t="s">
        <v>4254</v>
      </c>
    </row>
    <row r="889" spans="1:11" x14ac:dyDescent="0.25">
      <c r="A889" s="234" t="s">
        <v>4255</v>
      </c>
      <c r="B889" t="s">
        <v>4256</v>
      </c>
      <c r="C889" s="235"/>
      <c r="D889" s="234" t="str">
        <f t="shared" si="17"/>
        <v>NACE O - 82.4 Intermediation service activities for business support service activities n.e.c.</v>
      </c>
      <c r="K889" t="s">
        <v>4257</v>
      </c>
    </row>
    <row r="890" spans="1:11" x14ac:dyDescent="0.25">
      <c r="A890" s="235" t="s">
        <v>4258</v>
      </c>
      <c r="B890" t="s">
        <v>4259</v>
      </c>
      <c r="C890" s="235"/>
      <c r="D890" s="235" t="str">
        <f t="shared" si="17"/>
        <v>NACE O - 82.40 Intermediation service activities for business support service activities n.e.c.</v>
      </c>
      <c r="K890" t="s">
        <v>4260</v>
      </c>
    </row>
    <row r="891" spans="1:11" x14ac:dyDescent="0.25">
      <c r="A891" s="234" t="s">
        <v>4261</v>
      </c>
      <c r="B891" t="s">
        <v>4262</v>
      </c>
      <c r="C891" s="235"/>
      <c r="D891" s="234" t="str">
        <f t="shared" si="17"/>
        <v>NACE O - 82.9 Business support service activities n.e.c.</v>
      </c>
      <c r="K891" t="s">
        <v>4263</v>
      </c>
    </row>
    <row r="892" spans="1:11" x14ac:dyDescent="0.25">
      <c r="A892" s="235" t="s">
        <v>4264</v>
      </c>
      <c r="B892" t="s">
        <v>4265</v>
      </c>
      <c r="C892" s="235"/>
      <c r="D892" s="235" t="str">
        <f t="shared" si="17"/>
        <v>NACE O - 82.91 Activities of collection agencies and credit bureaus</v>
      </c>
      <c r="K892" t="s">
        <v>4266</v>
      </c>
    </row>
    <row r="893" spans="1:11" x14ac:dyDescent="0.25">
      <c r="A893" s="235" t="s">
        <v>4267</v>
      </c>
      <c r="B893" t="s">
        <v>4268</v>
      </c>
      <c r="C893" s="235"/>
      <c r="D893" s="235" t="str">
        <f t="shared" si="17"/>
        <v>NACE O - 82.92 Packaging activities</v>
      </c>
      <c r="K893" t="s">
        <v>4269</v>
      </c>
    </row>
    <row r="894" spans="1:11" x14ac:dyDescent="0.25">
      <c r="A894" s="235" t="s">
        <v>4270</v>
      </c>
      <c r="B894" t="s">
        <v>4271</v>
      </c>
      <c r="C894" s="235"/>
      <c r="D894" s="235" t="str">
        <f t="shared" si="17"/>
        <v>NACE O - 82.99 Other business support service activities n.e.c.</v>
      </c>
      <c r="K894" t="s">
        <v>4272</v>
      </c>
    </row>
    <row r="895" spans="1:11" x14ac:dyDescent="0.25">
      <c r="A895" s="232" t="s">
        <v>4273</v>
      </c>
      <c r="B895" t="s">
        <v>4274</v>
      </c>
      <c r="C895" s="235"/>
      <c r="D895" s="232" t="str">
        <f t="shared" si="17"/>
        <v>NACE P - PUBLIC ADMINISTRATION AND DEFENCE; COMPULSORY SOCIAL SECURITY</v>
      </c>
      <c r="K895" t="s">
        <v>4275</v>
      </c>
    </row>
    <row r="896" spans="1:11" x14ac:dyDescent="0.25">
      <c r="A896" s="231" t="s">
        <v>4276</v>
      </c>
      <c r="B896" t="s">
        <v>4277</v>
      </c>
      <c r="C896" s="235"/>
      <c r="D896" s="231" t="str">
        <f t="shared" si="17"/>
        <v>NACE P - 84 Public administration and defence; compulsory social security</v>
      </c>
      <c r="K896" t="s">
        <v>4278</v>
      </c>
    </row>
    <row r="897" spans="1:11" x14ac:dyDescent="0.25">
      <c r="A897" s="234" t="s">
        <v>4279</v>
      </c>
      <c r="B897" t="s">
        <v>4280</v>
      </c>
      <c r="C897" s="235"/>
      <c r="D897" s="234" t="str">
        <f t="shared" si="17"/>
        <v>NACE P - 84.1 Administration of the State and the economic, social and environmental policies of the community</v>
      </c>
      <c r="K897" t="s">
        <v>4281</v>
      </c>
    </row>
    <row r="898" spans="1:11" x14ac:dyDescent="0.25">
      <c r="A898" s="235" t="s">
        <v>4282</v>
      </c>
      <c r="B898" t="s">
        <v>4283</v>
      </c>
      <c r="C898" s="235"/>
      <c r="D898" s="235" t="str">
        <f t="shared" ref="D898:D961" si="18">_xlfn.CONCAT("NACE ", A898)</f>
        <v>NACE P - 84.11 General public administration activities</v>
      </c>
      <c r="K898" t="s">
        <v>4284</v>
      </c>
    </row>
    <row r="899" spans="1:11" x14ac:dyDescent="0.25">
      <c r="A899" s="235" t="s">
        <v>4285</v>
      </c>
      <c r="B899" t="s">
        <v>4286</v>
      </c>
      <c r="C899" s="235"/>
      <c r="D899" s="235" t="str">
        <f t="shared" si="18"/>
        <v>NACE P - 84.12 Regulation of health care, education, cultural services and other social services</v>
      </c>
      <c r="K899" t="s">
        <v>4287</v>
      </c>
    </row>
    <row r="900" spans="1:11" x14ac:dyDescent="0.25">
      <c r="A900" s="235" t="s">
        <v>4288</v>
      </c>
      <c r="B900" t="s">
        <v>4289</v>
      </c>
      <c r="C900" s="235"/>
      <c r="D900" s="235" t="str">
        <f t="shared" si="18"/>
        <v>NACE P - 84.13 Regulation of and contribution to more efficient operation of businesses</v>
      </c>
      <c r="K900" t="s">
        <v>4290</v>
      </c>
    </row>
    <row r="901" spans="1:11" x14ac:dyDescent="0.25">
      <c r="A901" s="234" t="s">
        <v>4291</v>
      </c>
      <c r="B901" t="s">
        <v>4292</v>
      </c>
      <c r="C901" s="235"/>
      <c r="D901" s="234" t="str">
        <f t="shared" si="18"/>
        <v>NACE P - 84.2 Provision of services to the community as a whole</v>
      </c>
      <c r="K901" t="s">
        <v>4293</v>
      </c>
    </row>
    <row r="902" spans="1:11" x14ac:dyDescent="0.25">
      <c r="A902" s="235" t="s">
        <v>4294</v>
      </c>
      <c r="B902" t="s">
        <v>4295</v>
      </c>
      <c r="C902" s="235"/>
      <c r="D902" s="235" t="str">
        <f t="shared" si="18"/>
        <v>NACE P - 84.21 Foreign affairs</v>
      </c>
      <c r="K902" t="s">
        <v>4296</v>
      </c>
    </row>
    <row r="903" spans="1:11" x14ac:dyDescent="0.25">
      <c r="A903" s="235" t="s">
        <v>4297</v>
      </c>
      <c r="B903" t="s">
        <v>4298</v>
      </c>
      <c r="C903" s="235"/>
      <c r="D903" s="235" t="str">
        <f t="shared" si="18"/>
        <v>NACE P - 84.22 Defence activities</v>
      </c>
      <c r="K903" t="s">
        <v>4299</v>
      </c>
    </row>
    <row r="904" spans="1:11" x14ac:dyDescent="0.25">
      <c r="A904" s="235" t="s">
        <v>4300</v>
      </c>
      <c r="B904" t="s">
        <v>4301</v>
      </c>
      <c r="C904" s="235"/>
      <c r="D904" s="235" t="str">
        <f t="shared" si="18"/>
        <v>NACE P - 84.23 Justice and judicial activities</v>
      </c>
      <c r="K904" t="s">
        <v>4302</v>
      </c>
    </row>
    <row r="905" spans="1:11" x14ac:dyDescent="0.25">
      <c r="A905" s="235" t="s">
        <v>4303</v>
      </c>
      <c r="B905" t="s">
        <v>4304</v>
      </c>
      <c r="C905" s="235"/>
      <c r="D905" s="235" t="str">
        <f t="shared" si="18"/>
        <v>NACE P - 84.24 Public order and safety activities</v>
      </c>
      <c r="K905" t="s">
        <v>4305</v>
      </c>
    </row>
    <row r="906" spans="1:11" x14ac:dyDescent="0.25">
      <c r="A906" s="235" t="s">
        <v>4306</v>
      </c>
      <c r="B906" t="s">
        <v>4307</v>
      </c>
      <c r="C906" s="235"/>
      <c r="D906" s="235" t="str">
        <f t="shared" si="18"/>
        <v>NACE P - 84.25 Fire service activities</v>
      </c>
      <c r="K906" t="s">
        <v>4308</v>
      </c>
    </row>
    <row r="907" spans="1:11" x14ac:dyDescent="0.25">
      <c r="A907" s="234" t="s">
        <v>4309</v>
      </c>
      <c r="B907" t="s">
        <v>4310</v>
      </c>
      <c r="C907" s="235"/>
      <c r="D907" s="234" t="str">
        <f t="shared" si="18"/>
        <v>NACE P - 84.3 Compulsory social security activities</v>
      </c>
      <c r="K907" t="s">
        <v>4311</v>
      </c>
    </row>
    <row r="908" spans="1:11" x14ac:dyDescent="0.25">
      <c r="A908" s="235" t="s">
        <v>4312</v>
      </c>
      <c r="B908" t="s">
        <v>4313</v>
      </c>
      <c r="C908" s="235"/>
      <c r="D908" s="235" t="str">
        <f t="shared" si="18"/>
        <v>NACE P - 84.30 Compulsory social security activities</v>
      </c>
      <c r="K908" t="s">
        <v>4314</v>
      </c>
    </row>
    <row r="909" spans="1:11" x14ac:dyDescent="0.25">
      <c r="A909" s="232" t="s">
        <v>4315</v>
      </c>
      <c r="B909" t="s">
        <v>4316</v>
      </c>
      <c r="C909" s="235"/>
      <c r="D909" s="232" t="str">
        <f t="shared" si="18"/>
        <v>NACE Q - EDUCATION</v>
      </c>
      <c r="K909" t="s">
        <v>4317</v>
      </c>
    </row>
    <row r="910" spans="1:11" x14ac:dyDescent="0.25">
      <c r="A910" s="231" t="s">
        <v>4318</v>
      </c>
      <c r="B910" t="s">
        <v>4319</v>
      </c>
      <c r="C910" s="235"/>
      <c r="D910" s="231" t="str">
        <f t="shared" si="18"/>
        <v>NACE Q - 85 Education</v>
      </c>
      <c r="K910" t="s">
        <v>4320</v>
      </c>
    </row>
    <row r="911" spans="1:11" x14ac:dyDescent="0.25">
      <c r="A911" s="234" t="s">
        <v>4321</v>
      </c>
      <c r="B911" t="s">
        <v>4322</v>
      </c>
      <c r="C911" s="235"/>
      <c r="D911" s="234" t="str">
        <f t="shared" si="18"/>
        <v>NACE Q - 85.1 Pre-primary education</v>
      </c>
      <c r="K911" t="s">
        <v>4323</v>
      </c>
    </row>
    <row r="912" spans="1:11" x14ac:dyDescent="0.25">
      <c r="A912" s="235" t="s">
        <v>4324</v>
      </c>
      <c r="B912" t="s">
        <v>4325</v>
      </c>
      <c r="C912" s="235"/>
      <c r="D912" s="235" t="str">
        <f t="shared" si="18"/>
        <v>NACE Q - 85.10 Pre-primary education</v>
      </c>
      <c r="K912" t="s">
        <v>4326</v>
      </c>
    </row>
    <row r="913" spans="1:11" x14ac:dyDescent="0.25">
      <c r="A913" s="234" t="s">
        <v>4327</v>
      </c>
      <c r="B913" t="s">
        <v>4328</v>
      </c>
      <c r="C913" s="235"/>
      <c r="D913" s="234" t="str">
        <f t="shared" si="18"/>
        <v>NACE Q - 85.2 Primary education</v>
      </c>
      <c r="K913" t="s">
        <v>4329</v>
      </c>
    </row>
    <row r="914" spans="1:11" x14ac:dyDescent="0.25">
      <c r="A914" s="235" t="s">
        <v>4330</v>
      </c>
      <c r="B914" t="s">
        <v>4331</v>
      </c>
      <c r="C914" s="235"/>
      <c r="D914" s="235" t="str">
        <f t="shared" si="18"/>
        <v>NACE Q - 85.20 Primary education</v>
      </c>
      <c r="K914" t="s">
        <v>4332</v>
      </c>
    </row>
    <row r="915" spans="1:11" x14ac:dyDescent="0.25">
      <c r="A915" s="234" t="s">
        <v>4333</v>
      </c>
      <c r="B915" t="s">
        <v>4334</v>
      </c>
      <c r="C915" s="235"/>
      <c r="D915" s="234" t="str">
        <f t="shared" si="18"/>
        <v>NACE Q - 85.3 Secondary and post-secondary non-tertiary education</v>
      </c>
      <c r="K915" t="s">
        <v>4335</v>
      </c>
    </row>
    <row r="916" spans="1:11" x14ac:dyDescent="0.25">
      <c r="A916" s="235" t="s">
        <v>4336</v>
      </c>
      <c r="B916" t="s">
        <v>4337</v>
      </c>
      <c r="C916" s="235"/>
      <c r="D916" s="235" t="str">
        <f t="shared" si="18"/>
        <v>NACE Q - 85.31 General secondary education</v>
      </c>
      <c r="K916" t="s">
        <v>4338</v>
      </c>
    </row>
    <row r="917" spans="1:11" x14ac:dyDescent="0.25">
      <c r="A917" s="235" t="s">
        <v>4339</v>
      </c>
      <c r="B917" t="s">
        <v>4340</v>
      </c>
      <c r="C917" s="235"/>
      <c r="D917" s="235" t="str">
        <f t="shared" si="18"/>
        <v>NACE Q - 85.32 Vocational secondary education</v>
      </c>
      <c r="K917" t="s">
        <v>4341</v>
      </c>
    </row>
    <row r="918" spans="1:11" x14ac:dyDescent="0.25">
      <c r="A918" s="235" t="s">
        <v>4342</v>
      </c>
      <c r="B918" t="s">
        <v>4343</v>
      </c>
      <c r="C918" s="235"/>
      <c r="D918" s="235" t="str">
        <f t="shared" si="18"/>
        <v>NACE Q - 85.33 Post-secondary non-tertiary education</v>
      </c>
      <c r="K918" t="s">
        <v>4344</v>
      </c>
    </row>
    <row r="919" spans="1:11" x14ac:dyDescent="0.25">
      <c r="A919" s="234" t="s">
        <v>4345</v>
      </c>
      <c r="B919" t="s">
        <v>4346</v>
      </c>
      <c r="C919" s="235"/>
      <c r="D919" s="234" t="str">
        <f t="shared" si="18"/>
        <v>NACE Q - 85.4 Tertiary education</v>
      </c>
      <c r="K919" t="s">
        <v>4347</v>
      </c>
    </row>
    <row r="920" spans="1:11" x14ac:dyDescent="0.25">
      <c r="A920" s="235" t="s">
        <v>4348</v>
      </c>
      <c r="B920" t="s">
        <v>4349</v>
      </c>
      <c r="C920" s="235"/>
      <c r="D920" s="235" t="str">
        <f t="shared" si="18"/>
        <v>NACE Q - 85.40 Tertiary education</v>
      </c>
      <c r="K920" t="s">
        <v>4350</v>
      </c>
    </row>
    <row r="921" spans="1:11" x14ac:dyDescent="0.25">
      <c r="A921" s="234" t="s">
        <v>4351</v>
      </c>
      <c r="B921" t="s">
        <v>4352</v>
      </c>
      <c r="C921" s="235"/>
      <c r="D921" s="234" t="str">
        <f t="shared" si="18"/>
        <v>NACE Q - 85.5 Other education</v>
      </c>
      <c r="K921" t="s">
        <v>4353</v>
      </c>
    </row>
    <row r="922" spans="1:11" x14ac:dyDescent="0.25">
      <c r="A922" s="235" t="s">
        <v>4354</v>
      </c>
      <c r="B922" t="s">
        <v>4355</v>
      </c>
      <c r="C922" s="235"/>
      <c r="D922" s="235" t="str">
        <f t="shared" si="18"/>
        <v>NACE Q - 85.51 Sports and recreation education</v>
      </c>
      <c r="K922" t="s">
        <v>4356</v>
      </c>
    </row>
    <row r="923" spans="1:11" x14ac:dyDescent="0.25">
      <c r="A923" s="235" t="s">
        <v>4357</v>
      </c>
      <c r="B923" t="s">
        <v>4358</v>
      </c>
      <c r="C923" s="235"/>
      <c r="D923" s="235" t="str">
        <f t="shared" si="18"/>
        <v>NACE Q - 85.52 Cultural education</v>
      </c>
      <c r="K923" t="s">
        <v>4359</v>
      </c>
    </row>
    <row r="924" spans="1:11" x14ac:dyDescent="0.25">
      <c r="A924" s="235" t="s">
        <v>4360</v>
      </c>
      <c r="B924" t="s">
        <v>4361</v>
      </c>
      <c r="C924" s="235"/>
      <c r="D924" s="235" t="str">
        <f t="shared" si="18"/>
        <v>NACE Q - 85.53 Driving school activities</v>
      </c>
      <c r="K924" t="s">
        <v>4362</v>
      </c>
    </row>
    <row r="925" spans="1:11" x14ac:dyDescent="0.25">
      <c r="A925" s="235" t="s">
        <v>4363</v>
      </c>
      <c r="B925" t="s">
        <v>4364</v>
      </c>
      <c r="C925" s="235"/>
      <c r="D925" s="235" t="str">
        <f t="shared" si="18"/>
        <v>NACE Q - 85.59 Other education n.e.c.</v>
      </c>
      <c r="K925" t="s">
        <v>4365</v>
      </c>
    </row>
    <row r="926" spans="1:11" x14ac:dyDescent="0.25">
      <c r="A926" s="234" t="s">
        <v>4366</v>
      </c>
      <c r="B926" t="s">
        <v>4367</v>
      </c>
      <c r="C926" s="235"/>
      <c r="D926" s="234" t="str">
        <f t="shared" si="18"/>
        <v>NACE Q - 85.6 Educational support activities</v>
      </c>
      <c r="K926" t="s">
        <v>4368</v>
      </c>
    </row>
    <row r="927" spans="1:11" x14ac:dyDescent="0.25">
      <c r="A927" s="235" t="s">
        <v>4369</v>
      </c>
      <c r="B927" t="s">
        <v>4370</v>
      </c>
      <c r="C927" s="235"/>
      <c r="D927" s="235" t="str">
        <f t="shared" si="18"/>
        <v>NACE Q - 85.61 Intermediation service activities for courses and tutors</v>
      </c>
      <c r="K927" t="s">
        <v>4371</v>
      </c>
    </row>
    <row r="928" spans="1:11" x14ac:dyDescent="0.25">
      <c r="A928" s="235" t="s">
        <v>4372</v>
      </c>
      <c r="B928" t="s">
        <v>4373</v>
      </c>
      <c r="C928" s="235"/>
      <c r="D928" s="235" t="str">
        <f t="shared" si="18"/>
        <v>NACE Q - 85.69 Educational support activities n.e.c.</v>
      </c>
      <c r="K928" t="s">
        <v>4374</v>
      </c>
    </row>
    <row r="929" spans="1:11" x14ac:dyDescent="0.25">
      <c r="A929" s="232" t="s">
        <v>4375</v>
      </c>
      <c r="B929" t="s">
        <v>4376</v>
      </c>
      <c r="C929" s="235"/>
      <c r="D929" s="232" t="str">
        <f t="shared" si="18"/>
        <v>NACE R - HUMAN HEALTH AND SOCIAL WORK ACTIVITIES</v>
      </c>
      <c r="K929" t="s">
        <v>4377</v>
      </c>
    </row>
    <row r="930" spans="1:11" x14ac:dyDescent="0.25">
      <c r="A930" s="231" t="s">
        <v>4378</v>
      </c>
      <c r="B930" t="s">
        <v>4379</v>
      </c>
      <c r="C930" s="235"/>
      <c r="D930" s="231" t="str">
        <f t="shared" si="18"/>
        <v>NACE R - 86 Human health activities</v>
      </c>
      <c r="K930" t="s">
        <v>4380</v>
      </c>
    </row>
    <row r="931" spans="1:11" x14ac:dyDescent="0.25">
      <c r="A931" s="234" t="s">
        <v>4381</v>
      </c>
      <c r="B931" t="s">
        <v>4382</v>
      </c>
      <c r="C931" s="235"/>
      <c r="D931" s="234" t="str">
        <f t="shared" si="18"/>
        <v>NACE R - 86.1 Hospital activities</v>
      </c>
      <c r="K931" t="s">
        <v>4383</v>
      </c>
    </row>
    <row r="932" spans="1:11" x14ac:dyDescent="0.25">
      <c r="A932" s="235" t="s">
        <v>4384</v>
      </c>
      <c r="B932" t="s">
        <v>4385</v>
      </c>
      <c r="C932" s="235"/>
      <c r="D932" s="235" t="str">
        <f t="shared" si="18"/>
        <v>NACE R - 86.10 Hospital activities</v>
      </c>
      <c r="K932" t="s">
        <v>4386</v>
      </c>
    </row>
    <row r="933" spans="1:11" x14ac:dyDescent="0.25">
      <c r="A933" s="234" t="s">
        <v>4387</v>
      </c>
      <c r="B933" t="s">
        <v>4388</v>
      </c>
      <c r="C933" s="235"/>
      <c r="D933" s="234" t="str">
        <f t="shared" si="18"/>
        <v>NACE R - 86.2 Medical and dental practice activities</v>
      </c>
      <c r="K933" t="s">
        <v>4389</v>
      </c>
    </row>
    <row r="934" spans="1:11" x14ac:dyDescent="0.25">
      <c r="A934" s="235" t="s">
        <v>4390</v>
      </c>
      <c r="B934" t="s">
        <v>4391</v>
      </c>
      <c r="C934" s="235"/>
      <c r="D934" s="235" t="str">
        <f t="shared" si="18"/>
        <v>NACE R - 86.21 General medical practice activities</v>
      </c>
      <c r="K934" t="s">
        <v>138</v>
      </c>
    </row>
    <row r="935" spans="1:11" x14ac:dyDescent="0.25">
      <c r="A935" s="235" t="s">
        <v>4392</v>
      </c>
      <c r="B935" t="s">
        <v>4393</v>
      </c>
      <c r="C935" s="235"/>
      <c r="D935" s="235" t="str">
        <f t="shared" si="18"/>
        <v>NACE R - 86.22 Medical specialists activities</v>
      </c>
      <c r="K935" t="s">
        <v>4394</v>
      </c>
    </row>
    <row r="936" spans="1:11" x14ac:dyDescent="0.25">
      <c r="A936" s="235" t="s">
        <v>4395</v>
      </c>
      <c r="B936" t="s">
        <v>4396</v>
      </c>
      <c r="C936" s="235"/>
      <c r="D936" s="235" t="str">
        <f t="shared" si="18"/>
        <v>NACE R - 86.23 Dental practice care activities</v>
      </c>
      <c r="K936" t="s">
        <v>4397</v>
      </c>
    </row>
    <row r="937" spans="1:11" x14ac:dyDescent="0.25">
      <c r="A937" s="234" t="s">
        <v>4398</v>
      </c>
      <c r="B937" t="s">
        <v>4399</v>
      </c>
      <c r="C937" s="235"/>
      <c r="D937" s="234" t="str">
        <f t="shared" si="18"/>
        <v>NACE R - 86.9 Other human health activities</v>
      </c>
      <c r="K937" t="s">
        <v>4400</v>
      </c>
    </row>
    <row r="938" spans="1:11" x14ac:dyDescent="0.25">
      <c r="A938" s="235" t="s">
        <v>4401</v>
      </c>
      <c r="B938" t="s">
        <v>4402</v>
      </c>
      <c r="C938" s="235"/>
      <c r="D938" s="235" t="str">
        <f t="shared" si="18"/>
        <v>NACE R - 86.91 Diagnostic imaging services and medical laboratory activities</v>
      </c>
      <c r="K938" t="s">
        <v>4403</v>
      </c>
    </row>
    <row r="939" spans="1:11" x14ac:dyDescent="0.25">
      <c r="A939" s="235" t="s">
        <v>4404</v>
      </c>
      <c r="B939" t="s">
        <v>4405</v>
      </c>
      <c r="C939" s="235"/>
      <c r="D939" s="235" t="str">
        <f t="shared" si="18"/>
        <v>NACE R - 86.92 Patient transportation by ambulance</v>
      </c>
      <c r="K939" t="s">
        <v>4406</v>
      </c>
    </row>
    <row r="940" spans="1:11" x14ac:dyDescent="0.25">
      <c r="A940" s="235" t="s">
        <v>4407</v>
      </c>
      <c r="B940" t="s">
        <v>4408</v>
      </c>
      <c r="C940" s="235"/>
      <c r="D940" s="235" t="str">
        <f t="shared" si="18"/>
        <v>NACE R - 86.93 Activities of psychologists and psychotherapists, except medical doctors</v>
      </c>
      <c r="K940" t="s">
        <v>4409</v>
      </c>
    </row>
    <row r="941" spans="1:11" x14ac:dyDescent="0.25">
      <c r="A941" s="235" t="s">
        <v>4410</v>
      </c>
      <c r="B941" t="s">
        <v>4411</v>
      </c>
      <c r="C941" s="235"/>
      <c r="D941" s="235" t="str">
        <f t="shared" si="18"/>
        <v>NACE R - 86.94 Nursing and midwifery activities</v>
      </c>
      <c r="K941" t="s">
        <v>4412</v>
      </c>
    </row>
    <row r="942" spans="1:11" x14ac:dyDescent="0.25">
      <c r="A942" s="235" t="s">
        <v>4413</v>
      </c>
      <c r="B942" t="s">
        <v>4414</v>
      </c>
      <c r="C942" s="235"/>
      <c r="D942" s="235" t="str">
        <f t="shared" si="18"/>
        <v>NACE R - 86.95 Physiotherapy activities</v>
      </c>
      <c r="K942" t="s">
        <v>4415</v>
      </c>
    </row>
    <row r="943" spans="1:11" x14ac:dyDescent="0.25">
      <c r="A943" s="235" t="s">
        <v>4416</v>
      </c>
      <c r="B943" t="s">
        <v>4417</v>
      </c>
      <c r="C943" s="235"/>
      <c r="D943" s="235" t="str">
        <f t="shared" si="18"/>
        <v>NACE R - 86.96 Traditional, complementary and alternative medicine activities</v>
      </c>
      <c r="K943" t="s">
        <v>4418</v>
      </c>
    </row>
    <row r="944" spans="1:11" x14ac:dyDescent="0.25">
      <c r="A944" s="235" t="s">
        <v>4419</v>
      </c>
      <c r="B944" t="s">
        <v>4420</v>
      </c>
      <c r="C944" s="235"/>
      <c r="D944" s="235" t="str">
        <f t="shared" si="18"/>
        <v>NACE R - 86.97 Intermediation service activities for medical, dental and other human health services</v>
      </c>
      <c r="K944" t="s">
        <v>4421</v>
      </c>
    </row>
    <row r="945" spans="1:11" x14ac:dyDescent="0.25">
      <c r="A945" s="235" t="s">
        <v>4422</v>
      </c>
      <c r="B945" t="s">
        <v>4423</v>
      </c>
      <c r="C945" s="235"/>
      <c r="D945" s="235" t="str">
        <f t="shared" si="18"/>
        <v>NACE R - 86.99 Other human health activities n.e.c.</v>
      </c>
      <c r="K945" t="s">
        <v>4424</v>
      </c>
    </row>
    <row r="946" spans="1:11" x14ac:dyDescent="0.25">
      <c r="A946" s="231" t="s">
        <v>4425</v>
      </c>
      <c r="B946" t="s">
        <v>4426</v>
      </c>
      <c r="C946" s="235"/>
      <c r="D946" s="231" t="str">
        <f t="shared" si="18"/>
        <v>NACE R - 87 Residential care activities</v>
      </c>
      <c r="K946" t="s">
        <v>4427</v>
      </c>
    </row>
    <row r="947" spans="1:11" x14ac:dyDescent="0.25">
      <c r="A947" s="234" t="s">
        <v>4428</v>
      </c>
      <c r="B947" t="s">
        <v>4429</v>
      </c>
      <c r="C947" s="235"/>
      <c r="D947" s="234" t="str">
        <f t="shared" si="18"/>
        <v>NACE R - 87.1 Residential nursing care activities</v>
      </c>
      <c r="K947" t="s">
        <v>4430</v>
      </c>
    </row>
    <row r="948" spans="1:11" x14ac:dyDescent="0.25">
      <c r="A948" s="235" t="s">
        <v>4431</v>
      </c>
      <c r="B948" t="s">
        <v>4432</v>
      </c>
      <c r="C948" s="235"/>
      <c r="D948" s="235" t="str">
        <f t="shared" si="18"/>
        <v>NACE R - 87.10 Residential nursing care activities</v>
      </c>
      <c r="K948" t="s">
        <v>4433</v>
      </c>
    </row>
    <row r="949" spans="1:11" x14ac:dyDescent="0.25">
      <c r="A949" s="234" t="s">
        <v>4434</v>
      </c>
      <c r="B949" t="s">
        <v>4435</v>
      </c>
      <c r="C949" s="235"/>
      <c r="D949" s="234" t="str">
        <f t="shared" si="18"/>
        <v>NACE R - 87.2 Residential care activities for persons living with or having a diagnosis of a mental illness or substance abuse</v>
      </c>
      <c r="K949" t="s">
        <v>4436</v>
      </c>
    </row>
    <row r="950" spans="1:11" x14ac:dyDescent="0.25">
      <c r="A950" s="235" t="s">
        <v>4437</v>
      </c>
      <c r="B950" t="s">
        <v>4438</v>
      </c>
      <c r="C950" s="235"/>
      <c r="D950" s="235" t="str">
        <f t="shared" si="18"/>
        <v>NACE R - 87.20 Residential care activities for persons living with or having a diagnosis of a mental illness or substance abuse</v>
      </c>
      <c r="K950" t="s">
        <v>4439</v>
      </c>
    </row>
    <row r="951" spans="1:11" x14ac:dyDescent="0.25">
      <c r="A951" s="234" t="s">
        <v>4440</v>
      </c>
      <c r="B951" t="s">
        <v>4441</v>
      </c>
      <c r="C951" s="235"/>
      <c r="D951" s="234" t="str">
        <f t="shared" si="18"/>
        <v>NACE R - 87.3 Residential care activities for older persons or persons with physical disabilities</v>
      </c>
      <c r="K951" t="s">
        <v>4442</v>
      </c>
    </row>
    <row r="952" spans="1:11" x14ac:dyDescent="0.25">
      <c r="A952" s="235" t="s">
        <v>4443</v>
      </c>
      <c r="B952" t="s">
        <v>4444</v>
      </c>
      <c r="C952" s="235"/>
      <c r="D952" s="235" t="str">
        <f t="shared" si="18"/>
        <v>NACE R - 87.30 Residential care activities for older persons or persons with physical disabilities</v>
      </c>
      <c r="K952" t="s">
        <v>4445</v>
      </c>
    </row>
    <row r="953" spans="1:11" x14ac:dyDescent="0.25">
      <c r="A953" s="234" t="s">
        <v>4446</v>
      </c>
      <c r="B953" t="s">
        <v>4447</v>
      </c>
      <c r="C953" s="235"/>
      <c r="D953" s="234" t="str">
        <f t="shared" si="18"/>
        <v>NACE R - 87.9 Other residential care activities</v>
      </c>
      <c r="K953" t="s">
        <v>4448</v>
      </c>
    </row>
    <row r="954" spans="1:11" x14ac:dyDescent="0.25">
      <c r="A954" s="235" t="s">
        <v>4449</v>
      </c>
      <c r="B954" t="s">
        <v>4450</v>
      </c>
      <c r="C954" s="235"/>
      <c r="D954" s="235" t="str">
        <f t="shared" si="18"/>
        <v>NACE R - 87.91 Intermediation service activities for residential care activities</v>
      </c>
      <c r="K954" t="s">
        <v>141</v>
      </c>
    </row>
    <row r="955" spans="1:11" x14ac:dyDescent="0.25">
      <c r="A955" s="235" t="s">
        <v>4451</v>
      </c>
      <c r="B955" t="s">
        <v>4452</v>
      </c>
      <c r="C955" s="235"/>
      <c r="D955" s="235" t="str">
        <f t="shared" si="18"/>
        <v>NACE R - 87.99 Other residential care activities n.e.c.</v>
      </c>
      <c r="K955" t="s">
        <v>4453</v>
      </c>
    </row>
    <row r="956" spans="1:11" x14ac:dyDescent="0.25">
      <c r="A956" s="231" t="s">
        <v>4454</v>
      </c>
      <c r="B956" t="s">
        <v>4455</v>
      </c>
      <c r="C956" s="235"/>
      <c r="D956" s="231" t="str">
        <f t="shared" si="18"/>
        <v>NACE R - 88 Social work activities without accommodation</v>
      </c>
      <c r="K956" t="s">
        <v>4456</v>
      </c>
    </row>
    <row r="957" spans="1:11" x14ac:dyDescent="0.25">
      <c r="A957" s="234" t="s">
        <v>4457</v>
      </c>
      <c r="B957" t="s">
        <v>4458</v>
      </c>
      <c r="C957" s="235"/>
      <c r="D957" s="234" t="str">
        <f t="shared" si="18"/>
        <v>NACE R - 88.1 Social work activities without accommodation for older persons or persons with disabilities</v>
      </c>
      <c r="K957" t="s">
        <v>4459</v>
      </c>
    </row>
    <row r="958" spans="1:11" x14ac:dyDescent="0.25">
      <c r="A958" s="235" t="s">
        <v>4460</v>
      </c>
      <c r="B958" t="s">
        <v>4461</v>
      </c>
      <c r="C958" s="235"/>
      <c r="D958" s="235" t="str">
        <f t="shared" si="18"/>
        <v>NACE R - 88.10 Social work activities without accommodation for older persons or persons with disabilities</v>
      </c>
      <c r="K958" t="s">
        <v>4462</v>
      </c>
    </row>
    <row r="959" spans="1:11" x14ac:dyDescent="0.25">
      <c r="A959" s="234" t="s">
        <v>4463</v>
      </c>
      <c r="B959" t="s">
        <v>4464</v>
      </c>
      <c r="C959" s="235"/>
      <c r="D959" s="234" t="str">
        <f t="shared" si="18"/>
        <v>NACE R - 88.9 Other social work activities without accommodation</v>
      </c>
      <c r="K959" t="s">
        <v>131</v>
      </c>
    </row>
    <row r="960" spans="1:11" x14ac:dyDescent="0.25">
      <c r="A960" s="235" t="s">
        <v>4465</v>
      </c>
      <c r="B960" t="s">
        <v>4466</v>
      </c>
      <c r="C960" s="235"/>
      <c r="D960" s="235" t="str">
        <f t="shared" si="18"/>
        <v>NACE R - 88.91 Child day-care activities</v>
      </c>
      <c r="K960" t="s">
        <v>140</v>
      </c>
    </row>
    <row r="961" spans="1:11" x14ac:dyDescent="0.25">
      <c r="A961" s="235" t="s">
        <v>4467</v>
      </c>
      <c r="B961" t="s">
        <v>4468</v>
      </c>
      <c r="C961" s="235"/>
      <c r="D961" s="235" t="str">
        <f t="shared" si="18"/>
        <v>NACE R - 88.99 Other social work activities without accommodation n.e.c.</v>
      </c>
      <c r="K961" t="s">
        <v>4469</v>
      </c>
    </row>
    <row r="962" spans="1:11" x14ac:dyDescent="0.25">
      <c r="A962" s="232" t="s">
        <v>4470</v>
      </c>
      <c r="B962" t="s">
        <v>4471</v>
      </c>
      <c r="C962" s="235"/>
      <c r="D962" s="232" t="str">
        <f t="shared" ref="D962:D1025" si="19">_xlfn.CONCAT("NACE ", A962)</f>
        <v>NACE S - ARTS, SPORTS AND RECREATION</v>
      </c>
      <c r="K962" t="s">
        <v>4472</v>
      </c>
    </row>
    <row r="963" spans="1:11" x14ac:dyDescent="0.25">
      <c r="A963" s="231" t="s">
        <v>4473</v>
      </c>
      <c r="B963" t="s">
        <v>4474</v>
      </c>
      <c r="C963" s="235"/>
      <c r="D963" s="231" t="str">
        <f t="shared" si="19"/>
        <v>NACE S - 90 Arts creation and performing arts activities</v>
      </c>
      <c r="K963" t="s">
        <v>4475</v>
      </c>
    </row>
    <row r="964" spans="1:11" x14ac:dyDescent="0.25">
      <c r="A964" s="234" t="s">
        <v>4476</v>
      </c>
      <c r="B964" t="s">
        <v>4477</v>
      </c>
      <c r="C964" s="235"/>
      <c r="D964" s="234" t="str">
        <f t="shared" si="19"/>
        <v>NACE S - 90.1 Arts creation activities</v>
      </c>
      <c r="K964" t="s">
        <v>4478</v>
      </c>
    </row>
    <row r="965" spans="1:11" x14ac:dyDescent="0.25">
      <c r="A965" s="235" t="s">
        <v>4479</v>
      </c>
      <c r="B965" t="s">
        <v>4480</v>
      </c>
      <c r="C965" s="235"/>
      <c r="D965" s="235" t="str">
        <f t="shared" si="19"/>
        <v>NACE S - 90.11 Literary creation and musical composition activities</v>
      </c>
      <c r="K965" t="s">
        <v>4481</v>
      </c>
    </row>
    <row r="966" spans="1:11" x14ac:dyDescent="0.25">
      <c r="A966" s="235" t="s">
        <v>4482</v>
      </c>
      <c r="B966" t="s">
        <v>4483</v>
      </c>
      <c r="C966" s="235"/>
      <c r="D966" s="235" t="str">
        <f t="shared" si="19"/>
        <v>NACE S - 90.12 Visual arts creation activities</v>
      </c>
      <c r="K966" t="s">
        <v>4484</v>
      </c>
    </row>
    <row r="967" spans="1:11" x14ac:dyDescent="0.25">
      <c r="A967" s="235" t="s">
        <v>4485</v>
      </c>
      <c r="B967" t="s">
        <v>4486</v>
      </c>
      <c r="C967" s="235"/>
      <c r="D967" s="235" t="str">
        <f t="shared" si="19"/>
        <v>NACE S - 90.13 Other arts creation activities</v>
      </c>
      <c r="K967" t="s">
        <v>4487</v>
      </c>
    </row>
    <row r="968" spans="1:11" x14ac:dyDescent="0.25">
      <c r="A968" s="234" t="s">
        <v>4488</v>
      </c>
      <c r="B968" t="s">
        <v>4489</v>
      </c>
      <c r="C968" s="235"/>
      <c r="D968" s="234" t="str">
        <f t="shared" si="19"/>
        <v>NACE S - 90.2 Activities of performing arts</v>
      </c>
      <c r="K968" t="s">
        <v>136</v>
      </c>
    </row>
    <row r="969" spans="1:11" x14ac:dyDescent="0.25">
      <c r="A969" s="235" t="s">
        <v>4490</v>
      </c>
      <c r="B969" t="s">
        <v>4491</v>
      </c>
      <c r="C969" s="235"/>
      <c r="D969" s="235" t="str">
        <f t="shared" si="19"/>
        <v>NACE S - 90.20 Activities of performing arts</v>
      </c>
      <c r="K969" t="s">
        <v>4492</v>
      </c>
    </row>
    <row r="970" spans="1:11" x14ac:dyDescent="0.25">
      <c r="A970" s="234" t="s">
        <v>4493</v>
      </c>
      <c r="B970" t="s">
        <v>4494</v>
      </c>
      <c r="C970" s="235"/>
      <c r="D970" s="234" t="str">
        <f t="shared" si="19"/>
        <v>NACE S - 90.3 Support activities to arts creation and performing arts</v>
      </c>
      <c r="K970" t="s">
        <v>4495</v>
      </c>
    </row>
    <row r="971" spans="1:11" x14ac:dyDescent="0.25">
      <c r="A971" s="235" t="s">
        <v>4496</v>
      </c>
      <c r="B971" t="s">
        <v>4497</v>
      </c>
      <c r="C971" s="235"/>
      <c r="D971" s="235" t="str">
        <f t="shared" si="19"/>
        <v>NACE S - 90.31 Operation of arts facilities and sites</v>
      </c>
      <c r="K971" t="s">
        <v>4498</v>
      </c>
    </row>
    <row r="972" spans="1:11" x14ac:dyDescent="0.25">
      <c r="A972" s="235" t="s">
        <v>4499</v>
      </c>
      <c r="B972" t="s">
        <v>4500</v>
      </c>
      <c r="C972" s="235"/>
      <c r="D972" s="235" t="str">
        <f t="shared" si="19"/>
        <v>NACE S - 90.39 Other support activities to arts and performing arts</v>
      </c>
      <c r="K972" t="s">
        <v>4501</v>
      </c>
    </row>
    <row r="973" spans="1:11" x14ac:dyDescent="0.25">
      <c r="A973" s="231" t="s">
        <v>4502</v>
      </c>
      <c r="B973" t="s">
        <v>4503</v>
      </c>
      <c r="C973" s="235"/>
      <c r="D973" s="231" t="str">
        <f t="shared" si="19"/>
        <v>NACE S - 91 Libraries, archives, museums and other cultural activities</v>
      </c>
      <c r="K973" t="s">
        <v>4504</v>
      </c>
    </row>
    <row r="974" spans="1:11" x14ac:dyDescent="0.25">
      <c r="A974" s="234" t="s">
        <v>4505</v>
      </c>
      <c r="B974" t="s">
        <v>4506</v>
      </c>
      <c r="C974" s="235"/>
      <c r="D974" s="234" t="str">
        <f t="shared" si="19"/>
        <v>NACE S - 91.1 Library and archive activities</v>
      </c>
      <c r="K974" t="s">
        <v>4507</v>
      </c>
    </row>
    <row r="975" spans="1:11" x14ac:dyDescent="0.25">
      <c r="A975" s="235" t="s">
        <v>4508</v>
      </c>
      <c r="B975" t="s">
        <v>4509</v>
      </c>
      <c r="C975" s="235"/>
      <c r="D975" s="235" t="str">
        <f t="shared" si="19"/>
        <v>NACE S - 91.11 Library activities</v>
      </c>
    </row>
    <row r="976" spans="1:11" x14ac:dyDescent="0.25">
      <c r="A976" s="235" t="s">
        <v>4510</v>
      </c>
      <c r="B976" t="s">
        <v>4511</v>
      </c>
      <c r="C976" s="235"/>
      <c r="D976" s="235" t="str">
        <f t="shared" si="19"/>
        <v>NACE S - 91.12 Archive activities</v>
      </c>
    </row>
    <row r="977" spans="1:4" x14ac:dyDescent="0.25">
      <c r="A977" s="234" t="s">
        <v>4512</v>
      </c>
      <c r="B977" t="s">
        <v>4513</v>
      </c>
      <c r="C977" s="235"/>
      <c r="D977" s="234" t="str">
        <f t="shared" si="19"/>
        <v>NACE S - 91.2 Museum, collection, historical site and monument activities</v>
      </c>
    </row>
    <row r="978" spans="1:4" x14ac:dyDescent="0.25">
      <c r="A978" s="235" t="s">
        <v>4514</v>
      </c>
      <c r="B978" t="s">
        <v>4515</v>
      </c>
      <c r="C978" s="235"/>
      <c r="D978" s="235" t="str">
        <f t="shared" si="19"/>
        <v>NACE S - 91.21 Museum and collection activities</v>
      </c>
    </row>
    <row r="979" spans="1:4" x14ac:dyDescent="0.25">
      <c r="A979" s="235" t="s">
        <v>4516</v>
      </c>
      <c r="B979" t="s">
        <v>4517</v>
      </c>
      <c r="C979" s="235"/>
      <c r="D979" s="235" t="str">
        <f t="shared" si="19"/>
        <v>NACE S - 91.22 Historical site and monument activities</v>
      </c>
    </row>
    <row r="980" spans="1:4" x14ac:dyDescent="0.25">
      <c r="A980" s="234" t="s">
        <v>4518</v>
      </c>
      <c r="B980" t="s">
        <v>4519</v>
      </c>
      <c r="C980" s="235"/>
      <c r="D980" s="234" t="str">
        <f t="shared" si="19"/>
        <v>NACE S - 91.3 Conservation, restoration and other support activities for cultural heritage</v>
      </c>
    </row>
    <row r="981" spans="1:4" x14ac:dyDescent="0.25">
      <c r="A981" s="235" t="s">
        <v>4520</v>
      </c>
      <c r="B981" t="s">
        <v>4521</v>
      </c>
      <c r="C981" s="235"/>
      <c r="D981" s="235" t="str">
        <f t="shared" si="19"/>
        <v>NACE S - 91.30 Conservation, restoration and other support activities for cultural heritage</v>
      </c>
    </row>
    <row r="982" spans="1:4" x14ac:dyDescent="0.25">
      <c r="A982" s="234" t="s">
        <v>4522</v>
      </c>
      <c r="B982" t="s">
        <v>4523</v>
      </c>
      <c r="C982" s="235"/>
      <c r="D982" s="234" t="str">
        <f t="shared" si="19"/>
        <v>NACE S - 91.4 Botanical and zoological garden and nature reserve activities</v>
      </c>
    </row>
    <row r="983" spans="1:4" x14ac:dyDescent="0.25">
      <c r="A983" s="235" t="s">
        <v>4524</v>
      </c>
      <c r="B983" t="s">
        <v>4525</v>
      </c>
      <c r="C983" s="235"/>
      <c r="D983" s="235" t="str">
        <f t="shared" si="19"/>
        <v>NACE S - 91.41 Botanical and zoological garden activities</v>
      </c>
    </row>
    <row r="984" spans="1:4" x14ac:dyDescent="0.25">
      <c r="A984" s="235" t="s">
        <v>4526</v>
      </c>
      <c r="B984" t="s">
        <v>4527</v>
      </c>
      <c r="C984" s="235"/>
      <c r="D984" s="235" t="str">
        <f t="shared" si="19"/>
        <v>NACE S - 91.42 Nature reserve activities</v>
      </c>
    </row>
    <row r="985" spans="1:4" x14ac:dyDescent="0.25">
      <c r="A985" s="231" t="s">
        <v>4528</v>
      </c>
      <c r="B985" t="s">
        <v>4529</v>
      </c>
      <c r="C985" s="235"/>
      <c r="D985" s="231" t="str">
        <f t="shared" si="19"/>
        <v>NACE S - 92 Gambling and betting activities</v>
      </c>
    </row>
    <row r="986" spans="1:4" x14ac:dyDescent="0.25">
      <c r="A986" s="234" t="s">
        <v>4530</v>
      </c>
      <c r="B986" t="s">
        <v>4531</v>
      </c>
      <c r="C986" s="235"/>
      <c r="D986" s="234" t="str">
        <f t="shared" si="19"/>
        <v>NACE S - 92.0 Gambling and betting activities</v>
      </c>
    </row>
    <row r="987" spans="1:4" x14ac:dyDescent="0.25">
      <c r="A987" s="235" t="s">
        <v>4532</v>
      </c>
      <c r="B987" t="s">
        <v>4533</v>
      </c>
      <c r="C987" s="235"/>
      <c r="D987" s="235" t="str">
        <f t="shared" si="19"/>
        <v>NACE S - 92.00 Gambling and betting activities</v>
      </c>
    </row>
    <row r="988" spans="1:4" x14ac:dyDescent="0.25">
      <c r="A988" s="231" t="s">
        <v>4534</v>
      </c>
      <c r="B988" t="s">
        <v>4535</v>
      </c>
      <c r="C988" s="235"/>
      <c r="D988" s="231" t="str">
        <f t="shared" si="19"/>
        <v>NACE S - 93 Sports activities and amusement and recreation activities</v>
      </c>
    </row>
    <row r="989" spans="1:4" x14ac:dyDescent="0.25">
      <c r="A989" s="234" t="s">
        <v>4536</v>
      </c>
      <c r="B989" t="s">
        <v>4537</v>
      </c>
      <c r="C989" s="235"/>
      <c r="D989" s="234" t="str">
        <f t="shared" si="19"/>
        <v>NACE S - 93.1 Sports activities</v>
      </c>
    </row>
    <row r="990" spans="1:4" x14ac:dyDescent="0.25">
      <c r="A990" s="235" t="s">
        <v>4538</v>
      </c>
      <c r="B990" t="s">
        <v>4539</v>
      </c>
      <c r="C990" s="235"/>
      <c r="D990" s="235" t="str">
        <f t="shared" si="19"/>
        <v>NACE S - 93.11 Operation of sports facilities</v>
      </c>
    </row>
    <row r="991" spans="1:4" x14ac:dyDescent="0.25">
      <c r="A991" s="235" t="s">
        <v>4540</v>
      </c>
      <c r="B991" t="s">
        <v>4541</v>
      </c>
      <c r="C991" s="235"/>
      <c r="D991" s="235" t="str">
        <f t="shared" si="19"/>
        <v>NACE S - 93.12 Activities of sports clubs</v>
      </c>
    </row>
    <row r="992" spans="1:4" x14ac:dyDescent="0.25">
      <c r="A992" s="235" t="s">
        <v>4542</v>
      </c>
      <c r="B992" t="s">
        <v>4543</v>
      </c>
      <c r="C992" s="235"/>
      <c r="D992" s="235" t="str">
        <f t="shared" si="19"/>
        <v>NACE S - 93.13 Activities of fitness centres</v>
      </c>
    </row>
    <row r="993" spans="1:4" x14ac:dyDescent="0.25">
      <c r="A993" s="235" t="s">
        <v>4544</v>
      </c>
      <c r="B993" t="s">
        <v>4545</v>
      </c>
      <c r="C993" s="235"/>
      <c r="D993" s="235" t="str">
        <f t="shared" si="19"/>
        <v>NACE S - 93.19 Sports activities n.e.c.</v>
      </c>
    </row>
    <row r="994" spans="1:4" x14ac:dyDescent="0.25">
      <c r="A994" s="234" t="s">
        <v>4546</v>
      </c>
      <c r="B994" t="s">
        <v>4547</v>
      </c>
      <c r="C994" s="235"/>
      <c r="D994" s="234" t="str">
        <f t="shared" si="19"/>
        <v>NACE S - 93.2 Amusement and recreation activities</v>
      </c>
    </row>
    <row r="995" spans="1:4" x14ac:dyDescent="0.25">
      <c r="A995" s="235" t="s">
        <v>4548</v>
      </c>
      <c r="B995" t="s">
        <v>4549</v>
      </c>
      <c r="C995" s="235"/>
      <c r="D995" s="235" t="str">
        <f t="shared" si="19"/>
        <v>NACE S - 93.21 Activities of amusement parks and theme parks</v>
      </c>
    </row>
    <row r="996" spans="1:4" x14ac:dyDescent="0.25">
      <c r="A996" s="235" t="s">
        <v>4550</v>
      </c>
      <c r="B996" t="s">
        <v>4551</v>
      </c>
      <c r="C996" s="235"/>
      <c r="D996" s="235" t="str">
        <f t="shared" si="19"/>
        <v>NACE S - 93.29 Amusement and recreation activities n.e.c.</v>
      </c>
    </row>
    <row r="997" spans="1:4" x14ac:dyDescent="0.25">
      <c r="A997" s="232" t="s">
        <v>4552</v>
      </c>
      <c r="B997" t="s">
        <v>4553</v>
      </c>
      <c r="C997" s="235"/>
      <c r="D997" s="232" t="str">
        <f t="shared" si="19"/>
        <v>NACE T - OTHER SERVICE ACTIVITIES</v>
      </c>
    </row>
    <row r="998" spans="1:4" x14ac:dyDescent="0.25">
      <c r="A998" s="231" t="s">
        <v>4554</v>
      </c>
      <c r="B998" t="s">
        <v>4555</v>
      </c>
      <c r="C998" s="235"/>
      <c r="D998" s="231" t="str">
        <f t="shared" si="19"/>
        <v>NACE T - 94 Activities of membership organisations</v>
      </c>
    </row>
    <row r="999" spans="1:4" x14ac:dyDescent="0.25">
      <c r="A999" s="234" t="s">
        <v>4556</v>
      </c>
      <c r="B999" t="s">
        <v>4557</v>
      </c>
      <c r="C999" s="235"/>
      <c r="D999" s="234" t="str">
        <f t="shared" si="19"/>
        <v>NACE T - 94.1 Activities of business, employers and professional membership organisations</v>
      </c>
    </row>
    <row r="1000" spans="1:4" x14ac:dyDescent="0.25">
      <c r="A1000" s="235" t="s">
        <v>4558</v>
      </c>
      <c r="B1000" t="s">
        <v>4559</v>
      </c>
      <c r="C1000" s="235"/>
      <c r="D1000" s="235" t="str">
        <f t="shared" si="19"/>
        <v>NACE T - 94.11 Activities of business and employers membership organisations</v>
      </c>
    </row>
    <row r="1001" spans="1:4" x14ac:dyDescent="0.25">
      <c r="A1001" s="235" t="s">
        <v>4560</v>
      </c>
      <c r="B1001" t="s">
        <v>4561</v>
      </c>
      <c r="C1001" s="235"/>
      <c r="D1001" s="235" t="str">
        <f t="shared" si="19"/>
        <v>NACE T - 94.12 Activities of professional membership organisations</v>
      </c>
    </row>
    <row r="1002" spans="1:4" x14ac:dyDescent="0.25">
      <c r="A1002" s="234" t="s">
        <v>4562</v>
      </c>
      <c r="B1002" t="s">
        <v>4563</v>
      </c>
      <c r="C1002" s="235"/>
      <c r="D1002" s="234" t="str">
        <f t="shared" si="19"/>
        <v>NACE T - 94.2 Activities of trade unions</v>
      </c>
    </row>
    <row r="1003" spans="1:4" x14ac:dyDescent="0.25">
      <c r="A1003" s="235" t="s">
        <v>4564</v>
      </c>
      <c r="B1003" t="s">
        <v>4565</v>
      </c>
      <c r="C1003" s="235"/>
      <c r="D1003" s="235" t="str">
        <f t="shared" si="19"/>
        <v>NACE T - 94.20 Activities of trade unions</v>
      </c>
    </row>
    <row r="1004" spans="1:4" x14ac:dyDescent="0.25">
      <c r="A1004" s="234" t="s">
        <v>4566</v>
      </c>
      <c r="B1004" t="s">
        <v>4567</v>
      </c>
      <c r="C1004" s="235"/>
      <c r="D1004" s="234" t="str">
        <f t="shared" si="19"/>
        <v>NACE T - 94.9 Activities of other membership organisations</v>
      </c>
    </row>
    <row r="1005" spans="1:4" x14ac:dyDescent="0.25">
      <c r="A1005" s="235" t="s">
        <v>4568</v>
      </c>
      <c r="B1005" t="s">
        <v>4569</v>
      </c>
      <c r="C1005" s="235"/>
      <c r="D1005" s="235" t="str">
        <f t="shared" si="19"/>
        <v>NACE T - 94.91 Activities of religious organisations</v>
      </c>
    </row>
    <row r="1006" spans="1:4" x14ac:dyDescent="0.25">
      <c r="A1006" s="235" t="s">
        <v>4570</v>
      </c>
      <c r="B1006" t="s">
        <v>4571</v>
      </c>
      <c r="C1006" s="235"/>
      <c r="D1006" s="235" t="str">
        <f t="shared" si="19"/>
        <v>NACE T - 94.92 Activities of political organisations</v>
      </c>
    </row>
    <row r="1007" spans="1:4" x14ac:dyDescent="0.25">
      <c r="A1007" s="235" t="s">
        <v>4572</v>
      </c>
      <c r="B1007" t="s">
        <v>4573</v>
      </c>
      <c r="C1007" s="235"/>
      <c r="D1007" s="235" t="str">
        <f t="shared" si="19"/>
        <v>NACE T - 94.99 Activities of other membership organisations n.e.c.</v>
      </c>
    </row>
    <row r="1008" spans="1:4" x14ac:dyDescent="0.25">
      <c r="A1008" s="231" t="s">
        <v>4574</v>
      </c>
      <c r="B1008" t="s">
        <v>4575</v>
      </c>
      <c r="C1008" s="235"/>
      <c r="D1008" s="231" t="str">
        <f t="shared" si="19"/>
        <v>NACE T - 95 Repair and maintenance of computers, personal and household goods, and motor vehicles and motorcycles</v>
      </c>
    </row>
    <row r="1009" spans="1:4" x14ac:dyDescent="0.25">
      <c r="A1009" s="234" t="s">
        <v>4576</v>
      </c>
      <c r="B1009" t="s">
        <v>4577</v>
      </c>
      <c r="C1009" s="235"/>
      <c r="D1009" s="234" t="str">
        <f t="shared" si="19"/>
        <v>NACE T - 95.1 Repair and maintenance of computers and communication equipment</v>
      </c>
    </row>
    <row r="1010" spans="1:4" x14ac:dyDescent="0.25">
      <c r="A1010" s="235" t="s">
        <v>4578</v>
      </c>
      <c r="B1010" t="s">
        <v>4579</v>
      </c>
      <c r="C1010" s="235"/>
      <c r="D1010" s="235" t="str">
        <f t="shared" si="19"/>
        <v>NACE T - 95.10 Repair and maintenance of computers and communication equipment</v>
      </c>
    </row>
    <row r="1011" spans="1:4" x14ac:dyDescent="0.25">
      <c r="A1011" s="234" t="s">
        <v>4580</v>
      </c>
      <c r="B1011" t="s">
        <v>4581</v>
      </c>
      <c r="C1011" s="235"/>
      <c r="D1011" s="234" t="str">
        <f t="shared" si="19"/>
        <v>NACE T - 95.2 Repair and maintenance of personal and household goods</v>
      </c>
    </row>
    <row r="1012" spans="1:4" x14ac:dyDescent="0.25">
      <c r="A1012" s="235" t="s">
        <v>4582</v>
      </c>
      <c r="B1012" t="s">
        <v>4583</v>
      </c>
      <c r="C1012" s="235"/>
      <c r="D1012" s="235" t="str">
        <f t="shared" si="19"/>
        <v>NACE T - 95.21 Repair and maintenance of consumer electronics</v>
      </c>
    </row>
    <row r="1013" spans="1:4" x14ac:dyDescent="0.25">
      <c r="A1013" s="235" t="s">
        <v>4584</v>
      </c>
      <c r="B1013" t="s">
        <v>4585</v>
      </c>
      <c r="C1013" s="235"/>
      <c r="D1013" s="235" t="str">
        <f t="shared" si="19"/>
        <v>NACE T - 95.22 Repair and maintenance of household appliances and home and garden equipment</v>
      </c>
    </row>
    <row r="1014" spans="1:4" x14ac:dyDescent="0.25">
      <c r="A1014" s="235" t="s">
        <v>4586</v>
      </c>
      <c r="B1014" t="s">
        <v>4587</v>
      </c>
      <c r="C1014" s="235"/>
      <c r="D1014" s="235" t="str">
        <f t="shared" si="19"/>
        <v>NACE T - 95.23 Repair and maintenance of footwear and leather goods</v>
      </c>
    </row>
    <row r="1015" spans="1:4" x14ac:dyDescent="0.25">
      <c r="A1015" s="235" t="s">
        <v>4588</v>
      </c>
      <c r="B1015" t="s">
        <v>4589</v>
      </c>
      <c r="C1015" s="235"/>
      <c r="D1015" s="235" t="str">
        <f t="shared" si="19"/>
        <v>NACE T - 95.24 Repair and maintenance of furniture and home furnishings</v>
      </c>
    </row>
    <row r="1016" spans="1:4" x14ac:dyDescent="0.25">
      <c r="A1016" s="235" t="s">
        <v>4590</v>
      </c>
      <c r="B1016" t="s">
        <v>4591</v>
      </c>
      <c r="C1016" s="235"/>
      <c r="D1016" s="235" t="str">
        <f t="shared" si="19"/>
        <v>NACE T - 95.25 Repair and maintenance of watches, clocks and jewellery</v>
      </c>
    </row>
    <row r="1017" spans="1:4" x14ac:dyDescent="0.25">
      <c r="A1017" s="235" t="s">
        <v>4592</v>
      </c>
      <c r="B1017" t="s">
        <v>4593</v>
      </c>
      <c r="C1017" s="235"/>
      <c r="D1017" s="235" t="str">
        <f t="shared" si="19"/>
        <v>NACE T - 95.29 Repair and maintenance of personal and household goods n.e.c.</v>
      </c>
    </row>
    <row r="1018" spans="1:4" x14ac:dyDescent="0.25">
      <c r="A1018" s="234" t="s">
        <v>4594</v>
      </c>
      <c r="B1018" t="s">
        <v>4595</v>
      </c>
      <c r="C1018" s="235"/>
      <c r="D1018" s="234" t="str">
        <f t="shared" si="19"/>
        <v>NACE T - 95.3 Repair and maintenance of motor vehicles and motorcycles</v>
      </c>
    </row>
    <row r="1019" spans="1:4" x14ac:dyDescent="0.25">
      <c r="A1019" s="235" t="s">
        <v>4596</v>
      </c>
      <c r="B1019" t="s">
        <v>4597</v>
      </c>
      <c r="C1019" s="235"/>
      <c r="D1019" s="235" t="str">
        <f t="shared" si="19"/>
        <v>NACE T - 95.31 Repair and maintenance of motor vehicles</v>
      </c>
    </row>
    <row r="1020" spans="1:4" x14ac:dyDescent="0.25">
      <c r="A1020" s="235" t="s">
        <v>4598</v>
      </c>
      <c r="B1020" t="s">
        <v>4599</v>
      </c>
      <c r="C1020" s="235"/>
      <c r="D1020" s="235" t="str">
        <f t="shared" si="19"/>
        <v>NACE T - 95.32 Repair and maintenance of motorcycles</v>
      </c>
    </row>
    <row r="1021" spans="1:4" x14ac:dyDescent="0.25">
      <c r="A1021" s="234" t="s">
        <v>4600</v>
      </c>
      <c r="B1021" t="s">
        <v>4601</v>
      </c>
      <c r="C1021" s="235"/>
      <c r="D1021" s="234" t="str">
        <f t="shared" si="19"/>
        <v>NACE T - 95.4 Intermediation service activities for repair and maintenance of computers, personal and household goods, and motor vehicles and motorcycles</v>
      </c>
    </row>
    <row r="1022" spans="1:4" x14ac:dyDescent="0.25">
      <c r="A1022" s="235" t="s">
        <v>4602</v>
      </c>
      <c r="B1022" t="s">
        <v>4603</v>
      </c>
      <c r="C1022" s="235"/>
      <c r="D1022" s="235" t="str">
        <f t="shared" si="19"/>
        <v>NACE T - 95.40 Intermediation service activities for repair and maintenance of computers, personal and household goods, and motor vehicles and motorcycles</v>
      </c>
    </row>
    <row r="1023" spans="1:4" x14ac:dyDescent="0.25">
      <c r="A1023" s="231" t="s">
        <v>4604</v>
      </c>
      <c r="B1023" t="s">
        <v>4605</v>
      </c>
      <c r="C1023" s="235"/>
      <c r="D1023" s="231" t="str">
        <f t="shared" si="19"/>
        <v>NACE T - 96 Personal service activities</v>
      </c>
    </row>
    <row r="1024" spans="1:4" x14ac:dyDescent="0.25">
      <c r="A1024" s="234" t="s">
        <v>4606</v>
      </c>
      <c r="B1024" t="s">
        <v>4607</v>
      </c>
      <c r="C1024" s="235"/>
      <c r="D1024" s="234" t="str">
        <f t="shared" si="19"/>
        <v>NACE T - 96.1 Washing and cleaning of textile and fur products</v>
      </c>
    </row>
    <row r="1025" spans="1:4" x14ac:dyDescent="0.25">
      <c r="A1025" s="235" t="s">
        <v>4608</v>
      </c>
      <c r="B1025" t="s">
        <v>4609</v>
      </c>
      <c r="C1025" s="235"/>
      <c r="D1025" s="235" t="str">
        <f t="shared" si="19"/>
        <v>NACE T - 96.10 Washing and cleaning of textile and fur products</v>
      </c>
    </row>
    <row r="1026" spans="1:4" x14ac:dyDescent="0.25">
      <c r="A1026" s="234" t="s">
        <v>4610</v>
      </c>
      <c r="B1026" t="s">
        <v>4611</v>
      </c>
      <c r="C1026" s="235"/>
      <c r="D1026" s="234" t="str">
        <f t="shared" ref="D1026:D1049" si="20">_xlfn.CONCAT("NACE ", A1026)</f>
        <v>NACE T - 96.2 Hairdressing, beauty treatment, day spa and similar activities</v>
      </c>
    </row>
    <row r="1027" spans="1:4" x14ac:dyDescent="0.25">
      <c r="A1027" s="235" t="s">
        <v>4612</v>
      </c>
      <c r="B1027" t="s">
        <v>4613</v>
      </c>
      <c r="C1027" s="235"/>
      <c r="D1027" s="235" t="str">
        <f t="shared" si="20"/>
        <v>NACE T - 96.21 Hairdressing and barber activities</v>
      </c>
    </row>
    <row r="1028" spans="1:4" x14ac:dyDescent="0.25">
      <c r="A1028" s="235" t="s">
        <v>4614</v>
      </c>
      <c r="B1028" t="s">
        <v>4615</v>
      </c>
      <c r="C1028" s="235"/>
      <c r="D1028" s="235" t="str">
        <f t="shared" si="20"/>
        <v>NACE T - 96.22 Beauty care and other beauty treatment activities</v>
      </c>
    </row>
    <row r="1029" spans="1:4" x14ac:dyDescent="0.25">
      <c r="A1029" s="235" t="s">
        <v>4616</v>
      </c>
      <c r="B1029" t="s">
        <v>4617</v>
      </c>
      <c r="C1029" s="235"/>
      <c r="D1029" s="235" t="str">
        <f t="shared" si="20"/>
        <v>NACE T - 96.23 Day spa, sauna and steam bath activities</v>
      </c>
    </row>
    <row r="1030" spans="1:4" x14ac:dyDescent="0.25">
      <c r="A1030" s="234" t="s">
        <v>4618</v>
      </c>
      <c r="B1030" t="s">
        <v>4619</v>
      </c>
      <c r="C1030" s="235"/>
      <c r="D1030" s="234" t="str">
        <f t="shared" si="20"/>
        <v>NACE T - 96.3 Funeral and related activities</v>
      </c>
    </row>
    <row r="1031" spans="1:4" x14ac:dyDescent="0.25">
      <c r="A1031" s="235" t="s">
        <v>4620</v>
      </c>
      <c r="B1031" t="s">
        <v>4621</v>
      </c>
      <c r="C1031" s="235"/>
      <c r="D1031" s="235" t="str">
        <f t="shared" si="20"/>
        <v>NACE T - 96.30 Funeral and related activities</v>
      </c>
    </row>
    <row r="1032" spans="1:4" x14ac:dyDescent="0.25">
      <c r="A1032" s="234" t="s">
        <v>4622</v>
      </c>
      <c r="B1032" t="s">
        <v>4623</v>
      </c>
      <c r="C1032" s="235"/>
      <c r="D1032" s="234" t="str">
        <f t="shared" si="20"/>
        <v>NACE T - 96.4 Intermediation service activities for personal services</v>
      </c>
    </row>
    <row r="1033" spans="1:4" x14ac:dyDescent="0.25">
      <c r="A1033" s="235" t="s">
        <v>4624</v>
      </c>
      <c r="B1033" t="s">
        <v>4625</v>
      </c>
      <c r="C1033" s="235"/>
      <c r="D1033" s="235" t="str">
        <f t="shared" si="20"/>
        <v>NACE T - 96.40 Intermediation service activities for personal services</v>
      </c>
    </row>
    <row r="1034" spans="1:4" x14ac:dyDescent="0.25">
      <c r="A1034" s="234" t="s">
        <v>4626</v>
      </c>
      <c r="B1034" t="s">
        <v>4627</v>
      </c>
      <c r="C1034" s="235"/>
      <c r="D1034" s="234" t="str">
        <f t="shared" si="20"/>
        <v>NACE T - 96.9 Other personal service activities</v>
      </c>
    </row>
    <row r="1035" spans="1:4" x14ac:dyDescent="0.25">
      <c r="A1035" s="235" t="s">
        <v>4628</v>
      </c>
      <c r="B1035" t="s">
        <v>4629</v>
      </c>
      <c r="C1035" s="235"/>
      <c r="D1035" s="235" t="str">
        <f t="shared" si="20"/>
        <v>NACE T - 96.91 Provision of domestic personal service activities</v>
      </c>
    </row>
    <row r="1036" spans="1:4" x14ac:dyDescent="0.25">
      <c r="A1036" s="235" t="s">
        <v>4630</v>
      </c>
      <c r="B1036" t="s">
        <v>4631</v>
      </c>
      <c r="C1036" s="235"/>
      <c r="D1036" s="235" t="str">
        <f t="shared" si="20"/>
        <v>NACE T - 96.99 Other personal service activities n.e.c.</v>
      </c>
    </row>
    <row r="1037" spans="1:4" x14ac:dyDescent="0.25">
      <c r="A1037" s="232" t="s">
        <v>4632</v>
      </c>
      <c r="B1037" t="s">
        <v>4633</v>
      </c>
      <c r="C1037" s="235"/>
      <c r="D1037" s="232" t="str">
        <f t="shared" si="20"/>
        <v>NACE U - ACTIVITIES OF HOUSEHOLDS AS EMPLOYERS AND UNDIFFERENTIATED GOODS – AND SERVICE-PRODUCING ACTIVITIES OF HOUSEHOLDS FOR OWN USE</v>
      </c>
    </row>
    <row r="1038" spans="1:4" x14ac:dyDescent="0.25">
      <c r="A1038" s="231" t="s">
        <v>4634</v>
      </c>
      <c r="B1038" t="s">
        <v>4635</v>
      </c>
      <c r="C1038" s="235"/>
      <c r="D1038" s="231" t="str">
        <f t="shared" si="20"/>
        <v>NACE U - 97 Activities of households as employers of domestic personnel</v>
      </c>
    </row>
    <row r="1039" spans="1:4" x14ac:dyDescent="0.25">
      <c r="A1039" s="234" t="s">
        <v>4636</v>
      </c>
      <c r="B1039" t="s">
        <v>4637</v>
      </c>
      <c r="C1039" s="235"/>
      <c r="D1039" s="234" t="str">
        <f t="shared" si="20"/>
        <v>NACE U - 97.0 Activities of households as employers of domestic personnel</v>
      </c>
    </row>
    <row r="1040" spans="1:4" x14ac:dyDescent="0.25">
      <c r="A1040" s="235" t="s">
        <v>4638</v>
      </c>
      <c r="B1040" t="s">
        <v>4639</v>
      </c>
      <c r="C1040" s="235"/>
      <c r="D1040" s="235" t="str">
        <f t="shared" si="20"/>
        <v>NACE U - 97.00 Activities of households as employers of domestic personnel</v>
      </c>
    </row>
    <row r="1041" spans="1:4" x14ac:dyDescent="0.25">
      <c r="A1041" s="231" t="s">
        <v>4640</v>
      </c>
      <c r="B1041" t="s">
        <v>4641</v>
      </c>
      <c r="C1041" s="235"/>
      <c r="D1041" s="231" t="str">
        <f t="shared" si="20"/>
        <v>NACE U - 98 Undifferentiated goods- and service-producing activities of private households for own use</v>
      </c>
    </row>
    <row r="1042" spans="1:4" x14ac:dyDescent="0.25">
      <c r="A1042" s="234" t="s">
        <v>4642</v>
      </c>
      <c r="B1042" t="s">
        <v>4643</v>
      </c>
      <c r="C1042" s="235"/>
      <c r="D1042" s="234" t="str">
        <f t="shared" si="20"/>
        <v>NACE U - 98.1 Undifferentiated goods-producing activities of private households for own use</v>
      </c>
    </row>
    <row r="1043" spans="1:4" x14ac:dyDescent="0.25">
      <c r="A1043" s="235" t="s">
        <v>4644</v>
      </c>
      <c r="B1043" t="s">
        <v>4645</v>
      </c>
      <c r="C1043" s="235"/>
      <c r="D1043" s="235" t="str">
        <f t="shared" si="20"/>
        <v>NACE U - 98.10 Undifferentiated goods-producing activities of private households for own use</v>
      </c>
    </row>
    <row r="1044" spans="1:4" x14ac:dyDescent="0.25">
      <c r="A1044" s="234" t="s">
        <v>4646</v>
      </c>
      <c r="B1044" t="s">
        <v>4647</v>
      </c>
      <c r="C1044" s="235"/>
      <c r="D1044" s="234" t="str">
        <f t="shared" si="20"/>
        <v>NACE U - 98.2 Undifferentiated service-producing activities of private households for own use</v>
      </c>
    </row>
    <row r="1045" spans="1:4" x14ac:dyDescent="0.25">
      <c r="A1045" s="235" t="s">
        <v>4648</v>
      </c>
      <c r="B1045" t="s">
        <v>4649</v>
      </c>
      <c r="C1045" s="235"/>
      <c r="D1045" s="235" t="str">
        <f t="shared" si="20"/>
        <v>NACE U - 98.20 Undifferentiated service-producing activities of private households for own use</v>
      </c>
    </row>
    <row r="1046" spans="1:4" x14ac:dyDescent="0.25">
      <c r="A1046" s="232" t="s">
        <v>4650</v>
      </c>
      <c r="B1046" t="s">
        <v>4651</v>
      </c>
      <c r="C1046" s="235"/>
      <c r="D1046" s="232" t="str">
        <f t="shared" si="20"/>
        <v>NACE V - ACTIVITIES OF EXTRATERRITORIAL ORGANISATIONS AND BODIES</v>
      </c>
    </row>
    <row r="1047" spans="1:4" x14ac:dyDescent="0.25">
      <c r="A1047" s="231" t="s">
        <v>4652</v>
      </c>
      <c r="B1047" t="s">
        <v>4653</v>
      </c>
      <c r="C1047" s="235"/>
      <c r="D1047" s="231" t="str">
        <f t="shared" si="20"/>
        <v>NACE V - 99 Activities of extraterritorial organisations and bodies</v>
      </c>
    </row>
    <row r="1048" spans="1:4" x14ac:dyDescent="0.25">
      <c r="A1048" s="234" t="s">
        <v>4654</v>
      </c>
      <c r="B1048" t="s">
        <v>4655</v>
      </c>
      <c r="C1048" s="235"/>
      <c r="D1048" s="234" t="str">
        <f t="shared" si="20"/>
        <v>NACE V - 99.0 Activities of extraterritorial organisations and bodies</v>
      </c>
    </row>
    <row r="1049" spans="1:4" x14ac:dyDescent="0.25">
      <c r="A1049" s="235" t="s">
        <v>4656</v>
      </c>
      <c r="B1049" t="s">
        <v>4657</v>
      </c>
      <c r="C1049" s="235"/>
      <c r="D1049" s="235" t="str">
        <f t="shared" si="20"/>
        <v>NACE V - 99.00 Activities of extraterritorial organisations and bodies</v>
      </c>
    </row>
  </sheetData>
  <sortState xmlns:xlrd2="http://schemas.microsoft.com/office/spreadsheetml/2017/richdata2" ref="C2:C1048">
    <sortCondition ref="C2:C1048"/>
  </sortState>
  <phoneticPr fontId="3" type="noConversion"/>
  <dataValidations count="1">
    <dataValidation type="list" allowBlank="1" showInputMessage="1" showErrorMessage="1" sqref="D3:D1049" xr:uid="{C5A457C6-D163-469A-A04B-AC21FACC80E7}">
      <formula1>$D$3:$D$1049</formula1>
    </dataValidation>
  </dataValidations>
  <pageMargins left="0.7" right="0.7" top="0.75" bottom="0.75" header="0.3" footer="0.3"/>
  <pageSetup paperSize="9"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85A03-4878-4426-A2CC-5DD7C0041933}">
  <dimension ref="A1:G490"/>
  <sheetViews>
    <sheetView topLeftCell="A332" zoomScaleNormal="100" workbookViewId="0">
      <selection activeCell="B359" sqref="B359"/>
    </sheetView>
  </sheetViews>
  <sheetFormatPr baseColWidth="10" defaultColWidth="11" defaultRowHeight="15" x14ac:dyDescent="0.25"/>
  <cols>
    <col min="1" max="1" width="52.140625" customWidth="1"/>
    <col min="2" max="2" width="56.28515625" customWidth="1"/>
    <col min="3" max="7" width="50.85546875" customWidth="1"/>
  </cols>
  <sheetData>
    <row r="1" spans="1:7" s="84" customFormat="1" ht="30" x14ac:dyDescent="0.25">
      <c r="A1" s="295" t="s">
        <v>4658</v>
      </c>
      <c r="B1" s="296" t="s">
        <v>4659</v>
      </c>
      <c r="C1" s="294" t="s">
        <v>4660</v>
      </c>
      <c r="D1" s="294" t="s">
        <v>4661</v>
      </c>
      <c r="E1" s="294" t="s">
        <v>4662</v>
      </c>
      <c r="F1" s="294" t="s">
        <v>4663</v>
      </c>
      <c r="G1" s="294" t="s">
        <v>4664</v>
      </c>
    </row>
    <row r="2" spans="1:7" s="315" customFormat="1" x14ac:dyDescent="0.25">
      <c r="A2" s="293"/>
      <c r="B2" s="51"/>
      <c r="C2" s="292" t="s">
        <v>4665</v>
      </c>
      <c r="D2" s="292" t="s">
        <v>4666</v>
      </c>
      <c r="E2" s="292" t="s">
        <v>4667</v>
      </c>
      <c r="F2" s="292" t="s">
        <v>4668</v>
      </c>
      <c r="G2" s="292" t="s">
        <v>4669</v>
      </c>
    </row>
    <row r="3" spans="1:7" x14ac:dyDescent="0.25">
      <c r="A3" s="293"/>
      <c r="B3" s="297"/>
      <c r="C3" s="292" t="str">
        <f>C1&amp; " [" &amp;C2 &amp; "]"</f>
        <v>English - Official [en]</v>
      </c>
      <c r="D3" s="292" t="str">
        <f t="shared" ref="D3:G3" si="0">D1&amp; " [" &amp;D2 &amp; "]"</f>
        <v>Lithuanian - Reviewed translation by Lithuanian Standard Setter [lt]</v>
      </c>
      <c r="E3" s="292" t="str">
        <f t="shared" si="0"/>
        <v>Polish - Reviewed translation by Polish Standard Setter [pl]</v>
      </c>
      <c r="F3" s="292" t="str">
        <f t="shared" si="0"/>
        <v>Portuguese - Reviewed translation by Portuguese Standard Setter [pt]</v>
      </c>
      <c r="G3" s="292" t="str">
        <f t="shared" si="0"/>
        <v>Spanish - Reviewed translation by Spanish Standard Setter [es]</v>
      </c>
    </row>
    <row r="4" spans="1:7" s="55" customFormat="1" x14ac:dyDescent="0.25">
      <c r="A4" s="304" t="s">
        <v>4670</v>
      </c>
      <c r="B4" s="305" t="str">
        <f t="shared" ref="B4:B67" si="1">INDEX(C4:G4,MATCH(template_selected_display_language,$C$3:$G$3,0))</f>
        <v>Entity Name</v>
      </c>
      <c r="C4" s="55" t="s">
        <v>4671</v>
      </c>
      <c r="D4" s="55" t="s">
        <v>4672</v>
      </c>
      <c r="E4" s="55" t="s">
        <v>4673</v>
      </c>
      <c r="F4" s="55" t="s">
        <v>4674</v>
      </c>
      <c r="G4" s="55" t="s">
        <v>4675</v>
      </c>
    </row>
    <row r="5" spans="1:7" s="55" customFormat="1" x14ac:dyDescent="0.25">
      <c r="A5" s="304" t="s">
        <v>4676</v>
      </c>
      <c r="B5" s="305" t="str">
        <f t="shared" si="1"/>
        <v>Entity Identifier</v>
      </c>
      <c r="C5" s="55" t="s">
        <v>4677</v>
      </c>
      <c r="D5" s="55" t="s">
        <v>4678</v>
      </c>
      <c r="E5" s="55" t="s">
        <v>4679</v>
      </c>
      <c r="F5" s="55" t="s">
        <v>4680</v>
      </c>
      <c r="G5" s="55" t="s">
        <v>4681</v>
      </c>
    </row>
    <row r="6" spans="1:7" s="55" customFormat="1" x14ac:dyDescent="0.25">
      <c r="A6" s="304" t="s">
        <v>4682</v>
      </c>
      <c r="B6" s="305" t="str">
        <f t="shared" si="1"/>
        <v>Entity Identifier Scheme</v>
      </c>
      <c r="C6" s="55" t="s">
        <v>4683</v>
      </c>
      <c r="D6" s="55" t="s">
        <v>4684</v>
      </c>
      <c r="E6" s="55" t="s">
        <v>4685</v>
      </c>
      <c r="F6" s="55" t="s">
        <v>4686</v>
      </c>
      <c r="G6" s="55" t="s">
        <v>4687</v>
      </c>
    </row>
    <row r="7" spans="1:7" s="55" customFormat="1" x14ac:dyDescent="0.25">
      <c r="A7" s="304" t="s">
        <v>4688</v>
      </c>
      <c r="B7" s="305" t="str">
        <f t="shared" si="1"/>
        <v>Report currency</v>
      </c>
      <c r="C7" s="55" t="s">
        <v>4689</v>
      </c>
      <c r="D7" s="55" t="s">
        <v>4690</v>
      </c>
      <c r="E7" s="55" t="s">
        <v>4691</v>
      </c>
      <c r="F7" s="55" t="s">
        <v>4692</v>
      </c>
      <c r="G7" s="55" t="s">
        <v>4693</v>
      </c>
    </row>
    <row r="8" spans="1:7" s="55" customFormat="1" x14ac:dyDescent="0.25">
      <c r="A8" s="304" t="s">
        <v>4694</v>
      </c>
      <c r="B8" s="305" t="str">
        <f t="shared" si="1"/>
        <v>Decimal separator</v>
      </c>
      <c r="C8" s="55" t="s">
        <v>4695</v>
      </c>
      <c r="D8" s="55" t="s">
        <v>4696</v>
      </c>
      <c r="E8" s="55" t="s">
        <v>4697</v>
      </c>
      <c r="F8" s="55" t="s">
        <v>4698</v>
      </c>
      <c r="G8" s="55" t="s">
        <v>4698</v>
      </c>
    </row>
    <row r="9" spans="1:7" s="55" customFormat="1" x14ac:dyDescent="0.25">
      <c r="A9" s="304" t="s">
        <v>4699</v>
      </c>
      <c r="B9" s="305" t="str">
        <f t="shared" si="1"/>
        <v>Report period</v>
      </c>
      <c r="C9" s="55" t="s">
        <v>4700</v>
      </c>
      <c r="D9" s="55" t="s">
        <v>4701</v>
      </c>
      <c r="E9" s="55" t="s">
        <v>4702</v>
      </c>
      <c r="F9" s="55" t="s">
        <v>4703</v>
      </c>
      <c r="G9" s="55" t="s">
        <v>4704</v>
      </c>
    </row>
    <row r="10" spans="1:7" s="55" customFormat="1" x14ac:dyDescent="0.25">
      <c r="A10" s="304" t="s">
        <v>4705</v>
      </c>
      <c r="B10" s="305" t="str">
        <f t="shared" si="1"/>
        <v>Report generated</v>
      </c>
      <c r="C10" s="55" t="s">
        <v>4706</v>
      </c>
      <c r="D10" s="55" t="s">
        <v>4707</v>
      </c>
      <c r="E10" s="55" t="s">
        <v>4708</v>
      </c>
      <c r="F10" s="55" t="s">
        <v>4709</v>
      </c>
      <c r="G10" s="55" t="s">
        <v>4710</v>
      </c>
    </row>
    <row r="11" spans="1:7" s="55" customFormat="1" x14ac:dyDescent="0.25">
      <c r="A11" s="304" t="s">
        <v>4711</v>
      </c>
      <c r="B11" s="305" t="str">
        <f t="shared" si="1"/>
        <v>All disclosures are related to the reporting period above unless specified otherwise.</v>
      </c>
      <c r="C11" s="55" t="s">
        <v>4712</v>
      </c>
      <c r="D11" s="55" t="s">
        <v>4713</v>
      </c>
      <c r="E11" s="55" t="s">
        <v>4714</v>
      </c>
      <c r="F11" s="55" t="s">
        <v>4715</v>
      </c>
      <c r="G11" s="55" t="s">
        <v>4716</v>
      </c>
    </row>
    <row r="12" spans="1:7" s="55" customFormat="1" x14ac:dyDescent="0.25">
      <c r="A12" s="304" t="s">
        <v>4717</v>
      </c>
      <c r="B12" s="305" t="str">
        <f t="shared" si="1"/>
        <v>Table of Contents</v>
      </c>
      <c r="C12" s="55" t="s">
        <v>4718</v>
      </c>
      <c r="D12" s="55" t="s">
        <v>4719</v>
      </c>
      <c r="E12" s="55" t="s">
        <v>4720</v>
      </c>
      <c r="F12" s="55" t="s">
        <v>4721</v>
      </c>
      <c r="G12" s="55" t="s">
        <v>4722</v>
      </c>
    </row>
    <row r="13" spans="1:7" s="55" customFormat="1" x14ac:dyDescent="0.25">
      <c r="A13" s="304" t="s">
        <v>4723</v>
      </c>
      <c r="B13" s="305" t="str">
        <f t="shared" si="1"/>
        <v>Reporting period:</v>
      </c>
      <c r="C13" s="55" t="s">
        <v>4724</v>
      </c>
      <c r="D13" s="55" t="s">
        <v>4725</v>
      </c>
      <c r="E13" s="55" t="s">
        <v>4702</v>
      </c>
      <c r="F13" s="55" t="s">
        <v>4726</v>
      </c>
      <c r="G13" s="55" t="s">
        <v>4727</v>
      </c>
    </row>
    <row r="14" spans="1:7" s="306" customFormat="1" ht="15.75" thickBot="1" x14ac:dyDescent="0.3">
      <c r="A14" s="316" t="s">
        <v>4728</v>
      </c>
      <c r="B14" s="332" t="str">
        <f t="shared" si="1"/>
        <v>This report contains {{ ns.fact_count }} XBRL facts ({{ facts | count }} unique facts).</v>
      </c>
      <c r="C14" s="306" t="s">
        <v>4729</v>
      </c>
      <c r="D14" s="306" t="s">
        <v>4730</v>
      </c>
      <c r="E14" s="306" t="s">
        <v>4731</v>
      </c>
      <c r="F14" s="306" t="s">
        <v>4732</v>
      </c>
      <c r="G14" s="306" t="s">
        <v>4733</v>
      </c>
    </row>
    <row r="15" spans="1:7" s="55" customFormat="1" x14ac:dyDescent="0.25">
      <c r="A15" s="304" t="s">
        <v>4734</v>
      </c>
      <c r="B15" s="305" t="str">
        <f t="shared" si="1"/>
        <v>Version:</v>
      </c>
      <c r="C15" s="55" t="s">
        <v>4735</v>
      </c>
      <c r="D15" s="55" t="s">
        <v>4736</v>
      </c>
      <c r="E15" s="55" t="s">
        <v>4737</v>
      </c>
      <c r="F15" s="55" t="s">
        <v>4738</v>
      </c>
      <c r="G15" s="55" t="s">
        <v>4739</v>
      </c>
    </row>
    <row r="16" spans="1:7" x14ac:dyDescent="0.25">
      <c r="A16" s="304" t="s">
        <v>4740</v>
      </c>
      <c r="B16" s="305" t="str">
        <f t="shared" si="1"/>
        <v>Publication date:</v>
      </c>
      <c r="C16" s="55" t="s">
        <v>4741</v>
      </c>
      <c r="D16" s="55" t="s">
        <v>4742</v>
      </c>
      <c r="E16" s="55" t="s">
        <v>4743</v>
      </c>
      <c r="F16" s="55" t="s">
        <v>4744</v>
      </c>
      <c r="G16" s="55" t="s">
        <v>4745</v>
      </c>
    </row>
    <row r="17" spans="1:7" x14ac:dyDescent="0.25">
      <c r="A17" s="304" t="s">
        <v>4746</v>
      </c>
      <c r="B17" s="305" t="str">
        <f t="shared" si="1"/>
        <v>Taxonomy entry point:</v>
      </c>
      <c r="C17" s="55" t="s">
        <v>4747</v>
      </c>
      <c r="D17" s="55" t="s">
        <v>4748</v>
      </c>
      <c r="E17" s="55" t="s">
        <v>4749</v>
      </c>
      <c r="F17" s="55" t="s">
        <v>4750</v>
      </c>
      <c r="G17" s="55" t="s">
        <v>4751</v>
      </c>
    </row>
    <row r="18" spans="1:7" x14ac:dyDescent="0.25">
      <c r="A18" s="304" t="s">
        <v>4752</v>
      </c>
      <c r="B18" s="305" t="str">
        <f t="shared" si="1"/>
        <v>Select Template Display Language:</v>
      </c>
      <c r="C18" s="55" t="s">
        <v>4753</v>
      </c>
      <c r="D18" s="55" t="s">
        <v>4754</v>
      </c>
      <c r="E18" s="55" t="s">
        <v>4755</v>
      </c>
      <c r="F18" s="55" t="s">
        <v>4756</v>
      </c>
      <c r="G18" s="55" t="s">
        <v>4757</v>
      </c>
    </row>
    <row r="19" spans="1:7" x14ac:dyDescent="0.25">
      <c r="A19" s="304" t="s">
        <v>4758</v>
      </c>
      <c r="B19" s="305" t="str">
        <f t="shared" si="1"/>
        <v>Main title of the report</v>
      </c>
      <c r="C19" s="55" t="s">
        <v>4759</v>
      </c>
      <c r="D19" s="55" t="s">
        <v>4760</v>
      </c>
      <c r="E19" s="55" t="s">
        <v>4761</v>
      </c>
      <c r="F19" s="55" t="s">
        <v>4762</v>
      </c>
      <c r="G19" s="55" t="s">
        <v>4763</v>
      </c>
    </row>
    <row r="20" spans="1:7" x14ac:dyDescent="0.25">
      <c r="A20" s="304" t="s">
        <v>4764</v>
      </c>
      <c r="B20" s="305" t="str">
        <f t="shared" si="1"/>
        <v xml:space="preserve">Sustainability Report </v>
      </c>
      <c r="C20" s="55" t="s">
        <v>4765</v>
      </c>
      <c r="D20" s="55" t="s">
        <v>4766</v>
      </c>
      <c r="E20" s="55" t="s">
        <v>4767</v>
      </c>
      <c r="F20" s="55" t="s">
        <v>4768</v>
      </c>
      <c r="G20" s="55" t="s">
        <v>4769</v>
      </c>
    </row>
    <row r="21" spans="1:7" x14ac:dyDescent="0.25">
      <c r="A21" s="304" t="s">
        <v>4770</v>
      </c>
      <c r="B21" s="305" t="str">
        <f t="shared" si="1"/>
        <v>Subtitle of the report</v>
      </c>
      <c r="C21" s="55" t="s">
        <v>4771</v>
      </c>
      <c r="D21" s="55" t="s">
        <v>4772</v>
      </c>
      <c r="E21" s="55" t="s">
        <v>4773</v>
      </c>
      <c r="F21" s="55" t="s">
        <v>4774</v>
      </c>
      <c r="G21" s="55" t="s">
        <v>4775</v>
      </c>
    </row>
    <row r="22" spans="1:7" x14ac:dyDescent="0.25">
      <c r="A22" s="304" t="s">
        <v>4776</v>
      </c>
      <c r="B22" s="305" t="str">
        <f t="shared" si="1"/>
        <v>Prepared in accordance with the Voluntary Sustainability Reporting Standard for small and medium-sized undertakings (VSME), released by the European Commission on 30 July 2025.</v>
      </c>
      <c r="C22" s="55" t="s">
        <v>4777</v>
      </c>
      <c r="D22" s="55" t="s">
        <v>4778</v>
      </c>
      <c r="E22" s="55" t="s">
        <v>4779</v>
      </c>
      <c r="F22" s="55" t="s">
        <v>4780</v>
      </c>
      <c r="G22" s="55" t="s">
        <v>4781</v>
      </c>
    </row>
    <row r="23" spans="1:7" x14ac:dyDescent="0.25">
      <c r="A23" s="304" t="s">
        <v>4782</v>
      </c>
      <c r="B23" s="305" t="str">
        <f t="shared" si="1"/>
        <v>VSME Digital Template</v>
      </c>
      <c r="C23" s="55" t="s">
        <v>4783</v>
      </c>
      <c r="D23" s="55" t="s">
        <v>4784</v>
      </c>
      <c r="E23" s="55" t="s">
        <v>4785</v>
      </c>
      <c r="F23" s="55" t="s">
        <v>4786</v>
      </c>
      <c r="G23" s="55" t="s">
        <v>4787</v>
      </c>
    </row>
    <row r="24" spans="1:7" ht="15.95" customHeight="1" x14ac:dyDescent="0.25">
      <c r="A24" s="304" t="s">
        <v>4788</v>
      </c>
      <c r="B24" s="305" t="str">
        <f t="shared" si="1"/>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24" s="331" t="s">
        <v>4789</v>
      </c>
      <c r="D24" s="55" t="s">
        <v>4790</v>
      </c>
      <c r="E24" s="55" t="s">
        <v>4791</v>
      </c>
      <c r="F24" s="55" t="s">
        <v>4792</v>
      </c>
      <c r="G24" s="55" t="s">
        <v>4793</v>
      </c>
    </row>
    <row r="25" spans="1:7" x14ac:dyDescent="0.25">
      <c r="A25" s="304" t="s">
        <v>4794</v>
      </c>
      <c r="B25" s="305" t="str">
        <f t="shared" si="1"/>
        <v>How to use it:</v>
      </c>
      <c r="C25" s="55" t="s">
        <v>4795</v>
      </c>
      <c r="D25" s="55" t="s">
        <v>4796</v>
      </c>
      <c r="E25" s="55" t="s">
        <v>4797</v>
      </c>
      <c r="F25" s="55" t="s">
        <v>4798</v>
      </c>
      <c r="G25" s="55" t="s">
        <v>4799</v>
      </c>
    </row>
    <row r="26" spans="1:7" x14ac:dyDescent="0.25">
      <c r="A26" s="304" t="s">
        <v>4800</v>
      </c>
      <c r="B26" s="305" t="str">
        <f t="shared" si="1"/>
        <v>0. Provide information that is mandatory in order to generate the VSME and XBRL Report.</v>
      </c>
      <c r="C26" s="55" t="s">
        <v>4801</v>
      </c>
      <c r="D26" s="55" t="s">
        <v>4802</v>
      </c>
      <c r="E26" s="55" t="s">
        <v>4803</v>
      </c>
      <c r="F26" s="55" t="s">
        <v>4804</v>
      </c>
      <c r="G26" s="55" t="s">
        <v>4805</v>
      </c>
    </row>
    <row r="27" spans="1:7" x14ac:dyDescent="0.25">
      <c r="A27" s="304" t="s">
        <v>4806</v>
      </c>
      <c r="B27" s="305" t="str">
        <f t="shared" si="1"/>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C27" s="55" t="s">
        <v>4807</v>
      </c>
      <c r="D27" s="55" t="s">
        <v>4808</v>
      </c>
      <c r="E27" s="55" t="s">
        <v>4809</v>
      </c>
      <c r="F27" s="55" t="s">
        <v>4810</v>
      </c>
      <c r="G27" s="55" t="s">
        <v>4811</v>
      </c>
    </row>
    <row r="28" spans="1:7" x14ac:dyDescent="0.25">
      <c r="A28" s="304" t="s">
        <v>4812</v>
      </c>
      <c r="B28" s="305" t="str">
        <f t="shared" si="1"/>
        <v>2. Find more information on the actual disclosure requirements in the VSME Standard and the related guidance linked to each cell. Additional or entity-specific disclosures can be provided in each text box at the end of each worksheet.</v>
      </c>
      <c r="C28" s="55" t="s">
        <v>4813</v>
      </c>
      <c r="D28" s="55" t="s">
        <v>4814</v>
      </c>
      <c r="E28" s="55" t="s">
        <v>4815</v>
      </c>
      <c r="F28" s="55" t="s">
        <v>4816</v>
      </c>
      <c r="G28" s="55" t="s">
        <v>4817</v>
      </c>
    </row>
    <row r="29" spans="1:7" x14ac:dyDescent="0.25">
      <c r="A29" s="304" t="s">
        <v>4818</v>
      </c>
      <c r="B29" s="305" t="str">
        <f t="shared" si="1"/>
        <v>3. For open tables like the List of subsidiaries/sites, please expand the groups by clicking the plus [+] icon on the left side. If more rows are needed, they can be added by inserting them between the first and last row. The row IDs in open tables must remain unique per table.</v>
      </c>
      <c r="C29" s="55" t="s">
        <v>4819</v>
      </c>
      <c r="D29" s="55" t="s">
        <v>4820</v>
      </c>
      <c r="E29" s="55" t="s">
        <v>4821</v>
      </c>
      <c r="F29" s="55" t="s">
        <v>4822</v>
      </c>
      <c r="G29" s="55" t="s">
        <v>4823</v>
      </c>
    </row>
    <row r="30" spans="1:7" x14ac:dyDescent="0.25">
      <c r="A30" s="304" t="s">
        <v>4824</v>
      </c>
      <c r="B30" s="305" t="str">
        <f t="shared" si="1"/>
        <v>4. Validate the data entered by checking the validation status. The report is considered incomplete or erroneous if the validation is fails, which might result in an invalid XBRL report.</v>
      </c>
      <c r="C30" s="55" t="s">
        <v>4825</v>
      </c>
      <c r="D30" s="55" t="s">
        <v>4826</v>
      </c>
      <c r="E30" s="55" t="s">
        <v>4827</v>
      </c>
      <c r="F30" s="55" t="s">
        <v>4828</v>
      </c>
      <c r="G30" s="55" t="s">
        <v>4829</v>
      </c>
    </row>
    <row r="31" spans="1:7" x14ac:dyDescent="0.25">
      <c r="A31" s="304" t="s">
        <v>4830</v>
      </c>
      <c r="B31" s="305" t="str">
        <f t="shared" si="1"/>
        <v>5. Convert this template to an Inline XBRL report (or XBRL-JSON, XBRL-CSV), using the online converter. Pay attention to the XBRL validation performed by the validator.</v>
      </c>
      <c r="C31" s="55" t="s">
        <v>4831</v>
      </c>
      <c r="D31" s="55" t="s">
        <v>4832</v>
      </c>
      <c r="E31" s="55" t="s">
        <v>4833</v>
      </c>
      <c r="F31" s="55" t="s">
        <v>4834</v>
      </c>
      <c r="G31" s="55" t="s">
        <v>4835</v>
      </c>
    </row>
    <row r="32" spans="1:7" x14ac:dyDescent="0.25">
      <c r="A32" s="304" t="s">
        <v>4836</v>
      </c>
      <c r="B32" s="305" t="str">
        <f t="shared" si="1"/>
        <v>6. The undertaking may also upload the report to public repositories or a webpage.</v>
      </c>
      <c r="C32" s="55" t="s">
        <v>4837</v>
      </c>
      <c r="D32" s="55" t="s">
        <v>4838</v>
      </c>
      <c r="E32" s="55" t="s">
        <v>4839</v>
      </c>
      <c r="F32" s="55" t="s">
        <v>4840</v>
      </c>
      <c r="G32" s="55" t="s">
        <v>4841</v>
      </c>
    </row>
    <row r="33" spans="1:7" x14ac:dyDescent="0.25">
      <c r="A33" s="304" t="s">
        <v>4842</v>
      </c>
      <c r="B33" s="305" t="str">
        <f t="shared" si="1"/>
        <v>Cell background color index:</v>
      </c>
      <c r="C33" s="55" t="s">
        <v>4843</v>
      </c>
      <c r="D33" s="55" t="s">
        <v>4844</v>
      </c>
      <c r="E33" s="55" t="s">
        <v>4845</v>
      </c>
      <c r="F33" s="55" t="s">
        <v>4846</v>
      </c>
      <c r="G33" s="55" t="s">
        <v>4847</v>
      </c>
    </row>
    <row r="34" spans="1:7" x14ac:dyDescent="0.25">
      <c r="A34" s="304" t="s">
        <v>4848</v>
      </c>
      <c r="B34" s="305" t="str">
        <f t="shared" si="1"/>
        <v>General Principles</v>
      </c>
      <c r="C34" s="55" t="s">
        <v>4849</v>
      </c>
      <c r="D34" s="55" t="s">
        <v>4850</v>
      </c>
      <c r="E34" s="55" t="s">
        <v>4851</v>
      </c>
      <c r="F34" s="55" t="s">
        <v>4852</v>
      </c>
      <c r="G34" s="55" t="s">
        <v>4853</v>
      </c>
    </row>
    <row r="35" spans="1:7" x14ac:dyDescent="0.25">
      <c r="A35" s="304" t="s">
        <v>4854</v>
      </c>
      <c r="B35" s="305" t="str">
        <f t="shared" si="1"/>
        <v>Indicates that the disclosure is from the general principles of the VSME.</v>
      </c>
      <c r="C35" s="55" t="s">
        <v>4855</v>
      </c>
      <c r="D35" s="55" t="s">
        <v>4856</v>
      </c>
      <c r="E35" s="55" t="s">
        <v>4857</v>
      </c>
      <c r="F35" s="55" t="s">
        <v>4858</v>
      </c>
      <c r="G35" s="55" t="s">
        <v>4859</v>
      </c>
    </row>
    <row r="36" spans="1:7" x14ac:dyDescent="0.25">
      <c r="A36" s="304" t="s">
        <v>4860</v>
      </c>
      <c r="B36" s="305" t="str">
        <f t="shared" si="1"/>
        <v>Basic Module</v>
      </c>
      <c r="C36" s="55" t="s">
        <v>4861</v>
      </c>
      <c r="D36" s="55" t="s">
        <v>4862</v>
      </c>
      <c r="E36" s="55" t="s">
        <v>4863</v>
      </c>
      <c r="F36" s="55" t="s">
        <v>4864</v>
      </c>
      <c r="G36" s="55" t="s">
        <v>4865</v>
      </c>
    </row>
    <row r="37" spans="1:7" x14ac:dyDescent="0.25">
      <c r="A37" s="304" t="s">
        <v>4866</v>
      </c>
      <c r="B37" s="305" t="str">
        <f t="shared" si="1"/>
        <v>Indicates that the disclosure is from the VSME Basic Module.</v>
      </c>
      <c r="C37" s="55" t="s">
        <v>4867</v>
      </c>
      <c r="D37" s="55" t="s">
        <v>4868</v>
      </c>
      <c r="E37" s="55" t="s">
        <v>4869</v>
      </c>
      <c r="F37" s="55" t="s">
        <v>4870</v>
      </c>
      <c r="G37" s="55" t="s">
        <v>4871</v>
      </c>
    </row>
    <row r="38" spans="1:7" x14ac:dyDescent="0.25">
      <c r="A38" s="304" t="s">
        <v>4872</v>
      </c>
      <c r="B38" s="305" t="str">
        <f t="shared" si="1"/>
        <v>Comprehensive Module</v>
      </c>
      <c r="C38" s="55" t="s">
        <v>4873</v>
      </c>
      <c r="D38" s="55" t="s">
        <v>4874</v>
      </c>
      <c r="E38" s="55" t="s">
        <v>4875</v>
      </c>
      <c r="F38" s="55" t="s">
        <v>4870</v>
      </c>
      <c r="G38" s="55" t="s">
        <v>4876</v>
      </c>
    </row>
    <row r="39" spans="1:7" x14ac:dyDescent="0.25">
      <c r="A39" s="304" t="s">
        <v>4877</v>
      </c>
      <c r="B39" s="305" t="str">
        <f t="shared" si="1"/>
        <v>Indicates that the disclosure is from the VSME Comprehensive Module.</v>
      </c>
      <c r="C39" s="55" t="s">
        <v>4878</v>
      </c>
      <c r="D39" s="55" t="s">
        <v>4879</v>
      </c>
      <c r="E39" s="55" t="s">
        <v>4880</v>
      </c>
      <c r="F39" s="55" t="s">
        <v>4870</v>
      </c>
      <c r="G39" s="55" t="s">
        <v>4881</v>
      </c>
    </row>
    <row r="40" spans="1:7" x14ac:dyDescent="0.25">
      <c r="A40" s="304" t="s">
        <v>4882</v>
      </c>
      <c r="B40" s="305" t="str">
        <f t="shared" si="1"/>
        <v>Indicates that the cell is automatically calculated and that no data entry is required.</v>
      </c>
      <c r="C40" s="55" t="s">
        <v>4883</v>
      </c>
      <c r="D40" s="55" t="s">
        <v>4884</v>
      </c>
      <c r="E40" s="55" t="s">
        <v>4885</v>
      </c>
      <c r="F40" s="55" t="s">
        <v>4886</v>
      </c>
      <c r="G40" s="55" t="s">
        <v>4887</v>
      </c>
    </row>
    <row r="41" spans="1:7" x14ac:dyDescent="0.25">
      <c r="A41" s="304" t="s">
        <v>4888</v>
      </c>
      <c r="B41" s="305" t="str">
        <f t="shared" si="1"/>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C41" s="55" t="s">
        <v>4889</v>
      </c>
      <c r="D41" s="55" t="s">
        <v>4890</v>
      </c>
      <c r="E41" s="55" t="s">
        <v>4891</v>
      </c>
      <c r="F41" s="55" t="s">
        <v>4892</v>
      </c>
      <c r="G41" s="55" t="s">
        <v>4893</v>
      </c>
    </row>
    <row r="42" spans="1:7" x14ac:dyDescent="0.25">
      <c r="A42" s="304" t="s">
        <v>4894</v>
      </c>
      <c r="B42" s="305" t="str">
        <f t="shared" si="1"/>
        <v>Indicates that no data entry is required unless certain logics are selected in the disclosure itself. When one of these logics is selected, then this cell will turn white.</v>
      </c>
      <c r="C42" s="55" t="s">
        <v>4895</v>
      </c>
      <c r="D42" s="55" t="s">
        <v>4896</v>
      </c>
      <c r="E42" s="55" t="s">
        <v>4897</v>
      </c>
      <c r="F42" s="55" t="s">
        <v>4898</v>
      </c>
      <c r="G42" s="55" t="s">
        <v>4899</v>
      </c>
    </row>
    <row r="43" spans="1:7" x14ac:dyDescent="0.25">
      <c r="A43" s="304" t="s">
        <v>4900</v>
      </c>
      <c r="B43" s="305" t="str">
        <f t="shared" si="1"/>
        <v>Validation MISSING VALUE/ERROR/VALUE INCONSISTENCY/INVALID URL</v>
      </c>
      <c r="C43" s="305" t="s">
        <v>4901</v>
      </c>
      <c r="D43" s="55" t="s">
        <v>4902</v>
      </c>
      <c r="E43" s="55" t="s">
        <v>4903</v>
      </c>
      <c r="F43" s="55" t="s">
        <v>4904</v>
      </c>
      <c r="G43" s="55" t="s">
        <v>4905</v>
      </c>
    </row>
    <row r="44" spans="1:7" x14ac:dyDescent="0.25">
      <c r="A44" s="304" t="s">
        <v>4906</v>
      </c>
      <c r="B44" s="305" t="str">
        <f t="shared" si="1"/>
        <v>Indicates that either data entry is incorrect in terms of format or that certain information is missing in order to correctly report on the disclosure.</v>
      </c>
      <c r="C44" s="55" t="s">
        <v>4907</v>
      </c>
      <c r="D44" s="55" t="s">
        <v>4908</v>
      </c>
      <c r="E44" s="55" t="s">
        <v>4909</v>
      </c>
      <c r="F44" s="55" t="s">
        <v>4910</v>
      </c>
      <c r="G44" s="55" t="s">
        <v>4911</v>
      </c>
    </row>
    <row r="45" spans="1:7" x14ac:dyDescent="0.25">
      <c r="A45" s="304" t="s">
        <v>4912</v>
      </c>
      <c r="B45" s="305" t="str">
        <f t="shared" si="1"/>
        <v>Validation OK</v>
      </c>
      <c r="C45" s="55" t="s">
        <v>3</v>
      </c>
      <c r="D45" s="55"/>
      <c r="E45" s="55" t="s">
        <v>4913</v>
      </c>
      <c r="F45" s="55" t="s">
        <v>4914</v>
      </c>
      <c r="G45" s="55" t="s">
        <v>4915</v>
      </c>
    </row>
    <row r="46" spans="1:7" x14ac:dyDescent="0.25">
      <c r="A46" s="304" t="s">
        <v>4916</v>
      </c>
      <c r="B46" s="305" t="str">
        <f t="shared" si="1"/>
        <v>Indicates that data entry is OK and the undertaking can proceed to the next disclosure.</v>
      </c>
      <c r="C46" s="55" t="s">
        <v>4917</v>
      </c>
      <c r="D46" s="55" t="s">
        <v>4918</v>
      </c>
      <c r="E46" s="55" t="s">
        <v>4919</v>
      </c>
      <c r="F46" s="55" t="s">
        <v>4920</v>
      </c>
      <c r="G46" s="55" t="s">
        <v>4921</v>
      </c>
    </row>
    <row r="47" spans="1:7" x14ac:dyDescent="0.25">
      <c r="A47" s="304" t="s">
        <v>4922</v>
      </c>
      <c r="B47" s="305" t="str">
        <f t="shared" si="1"/>
        <v>No value can be entered in the cell.</v>
      </c>
      <c r="C47" s="55" t="s">
        <v>4923</v>
      </c>
      <c r="D47" s="55" t="s">
        <v>4924</v>
      </c>
      <c r="E47" s="55" t="s">
        <v>4925</v>
      </c>
      <c r="F47" s="55" t="s">
        <v>4926</v>
      </c>
      <c r="G47" s="55" t="s">
        <v>4927</v>
      </c>
    </row>
    <row r="48" spans="1:7" x14ac:dyDescent="0.25">
      <c r="A48" s="304" t="s">
        <v>4928</v>
      </c>
      <c r="B48" s="305" t="str">
        <f t="shared" si="1"/>
        <v>Lists can be expanded using the plus [+] button on the left. If the number of rows is not sufficient, additional rows can be added by right clicking the second row and selecting "Insert row".</v>
      </c>
      <c r="C48" s="55" t="s">
        <v>4929</v>
      </c>
      <c r="D48" s="55" t="s">
        <v>4930</v>
      </c>
      <c r="E48" s="55" t="s">
        <v>4931</v>
      </c>
      <c r="F48" s="55" t="s">
        <v>4932</v>
      </c>
      <c r="G48" s="55" t="s">
        <v>4933</v>
      </c>
    </row>
    <row r="49" spans="1:7" x14ac:dyDescent="0.25">
      <c r="A49" s="304" t="s">
        <v>4934</v>
      </c>
      <c r="B49" s="305" t="str">
        <f t="shared" si="1"/>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C49" s="55" t="s">
        <v>4935</v>
      </c>
      <c r="D49" s="55" t="s">
        <v>4936</v>
      </c>
      <c r="E49" s="55" t="s">
        <v>4937</v>
      </c>
      <c r="F49" s="55" t="s">
        <v>4938</v>
      </c>
      <c r="G49" s="55" t="s">
        <v>4939</v>
      </c>
    </row>
    <row r="50" spans="1:7" s="9" customFormat="1" ht="15.75" thickBot="1" x14ac:dyDescent="0.3">
      <c r="A50" s="316" t="s">
        <v>4940</v>
      </c>
      <c r="B50" s="332" t="str">
        <f t="shared" si="1"/>
        <v>Reproduction and use rights are strictly limited. For further details please contact efragsecretariat@efrag.org</v>
      </c>
      <c r="C50" s="306" t="s">
        <v>4941</v>
      </c>
      <c r="D50" s="306" t="s">
        <v>4942</v>
      </c>
      <c r="E50" s="306" t="s">
        <v>4943</v>
      </c>
      <c r="F50" s="306" t="s">
        <v>4944</v>
      </c>
      <c r="G50" s="306" t="s">
        <v>4945</v>
      </c>
    </row>
    <row r="51" spans="1:7" x14ac:dyDescent="0.25">
      <c r="A51" s="304" t="s">
        <v>4946</v>
      </c>
      <c r="B51" s="305" t="str">
        <f t="shared" si="1"/>
        <v>Overall Validation Status</v>
      </c>
      <c r="C51" s="304" t="s">
        <v>4947</v>
      </c>
      <c r="D51" s="55" t="s">
        <v>4948</v>
      </c>
      <c r="E51" s="55" t="s">
        <v>4949</v>
      </c>
      <c r="F51" s="55" t="s">
        <v>4950</v>
      </c>
      <c r="G51" s="55" t="s">
        <v>4951</v>
      </c>
    </row>
    <row r="52" spans="1:7" x14ac:dyDescent="0.25">
      <c r="A52" s="304" t="s">
        <v>4952</v>
      </c>
      <c r="B52" s="305" t="str">
        <f t="shared" si="1"/>
        <v>Table of Contents</v>
      </c>
      <c r="C52" s="304" t="s">
        <v>4718</v>
      </c>
      <c r="D52" s="55" t="s">
        <v>4719</v>
      </c>
      <c r="E52" s="55" t="s">
        <v>4720</v>
      </c>
      <c r="F52" s="55" t="s">
        <v>4721</v>
      </c>
      <c r="G52" s="55" t="s">
        <v>4721</v>
      </c>
    </row>
    <row r="53" spans="1:7" x14ac:dyDescent="0.25">
      <c r="A53" s="304" t="s">
        <v>4953</v>
      </c>
      <c r="B53" s="305" t="str">
        <f t="shared" si="1"/>
        <v>Contents grouping follows template's framework</v>
      </c>
      <c r="C53" s="304" t="s">
        <v>4954</v>
      </c>
      <c r="D53" s="55" t="s">
        <v>4955</v>
      </c>
      <c r="E53" s="55" t="s">
        <v>4956</v>
      </c>
      <c r="F53" s="55" t="s">
        <v>4957</v>
      </c>
      <c r="G53" s="55" t="s">
        <v>4958</v>
      </c>
    </row>
    <row r="54" spans="1:7" x14ac:dyDescent="0.25">
      <c r="A54" s="304" t="s">
        <v>4959</v>
      </c>
      <c r="B54" s="305" t="str">
        <f t="shared" si="1"/>
        <v>Specific Content Validation Status</v>
      </c>
      <c r="C54" s="304" t="s">
        <v>4960</v>
      </c>
      <c r="D54" s="55" t="s">
        <v>4961</v>
      </c>
      <c r="E54" s="55" t="s">
        <v>4962</v>
      </c>
      <c r="F54" s="55" t="s">
        <v>4963</v>
      </c>
      <c r="G54" s="55" t="s">
        <v>4964</v>
      </c>
    </row>
    <row r="55" spans="1:7" x14ac:dyDescent="0.25">
      <c r="A55" s="304" t="s">
        <v>4965</v>
      </c>
      <c r="B55" s="305" t="str">
        <f t="shared" si="1"/>
        <v>General Information</v>
      </c>
      <c r="C55" s="304" t="s">
        <v>4966</v>
      </c>
      <c r="D55" s="55" t="s">
        <v>4967</v>
      </c>
      <c r="E55" s="55" t="s">
        <v>4968</v>
      </c>
      <c r="F55" s="55" t="s">
        <v>4969</v>
      </c>
      <c r="G55" s="55" t="s">
        <v>4970</v>
      </c>
    </row>
    <row r="56" spans="1:7" x14ac:dyDescent="0.25">
      <c r="A56" s="304" t="s">
        <v>4971</v>
      </c>
      <c r="B56" s="305" t="str">
        <f t="shared" si="1"/>
        <v>· Information on the report necessary for  XBRL</v>
      </c>
      <c r="C56" s="304" t="s">
        <v>4972</v>
      </c>
      <c r="D56" s="55" t="s">
        <v>4973</v>
      </c>
      <c r="E56" s="55" t="s">
        <v>4974</v>
      </c>
      <c r="F56" s="55" t="s">
        <v>4975</v>
      </c>
      <c r="G56" s="55" t="s">
        <v>4976</v>
      </c>
    </row>
    <row r="57" spans="1:7" x14ac:dyDescent="0.25">
      <c r="A57" s="304" t="s">
        <v>4977</v>
      </c>
      <c r="B57" s="305" t="str">
        <f t="shared" si="1"/>
        <v>· Information on previous reporting period</v>
      </c>
      <c r="C57" s="304" t="s">
        <v>4978</v>
      </c>
      <c r="D57" s="55" t="s">
        <v>4979</v>
      </c>
      <c r="E57" s="55" t="s">
        <v>4980</v>
      </c>
      <c r="F57" s="55" t="s">
        <v>4981</v>
      </c>
      <c r="G57" s="55" t="s">
        <v>4982</v>
      </c>
    </row>
    <row r="58" spans="1:7" x14ac:dyDescent="0.25">
      <c r="A58" s="304" t="s">
        <v>4983</v>
      </c>
      <c r="B58" s="305" t="str">
        <f t="shared" si="1"/>
        <v>Basic Module</v>
      </c>
      <c r="C58" s="304" t="s">
        <v>4861</v>
      </c>
      <c r="D58" s="55" t="s">
        <v>4862</v>
      </c>
      <c r="E58" s="55" t="s">
        <v>4863</v>
      </c>
      <c r="F58" s="55" t="s">
        <v>4864</v>
      </c>
      <c r="G58" s="55" t="s">
        <v>4865</v>
      </c>
    </row>
    <row r="59" spans="1:7" x14ac:dyDescent="0.25">
      <c r="A59" s="304" t="s">
        <v>4984</v>
      </c>
      <c r="B59" s="305" t="str">
        <f t="shared" si="1"/>
        <v>· B1 - Basis for Preparation</v>
      </c>
      <c r="C59" s="304" t="s">
        <v>4985</v>
      </c>
      <c r="D59" s="55" t="s">
        <v>4986</v>
      </c>
      <c r="E59" s="55" t="s">
        <v>4987</v>
      </c>
      <c r="F59" s="55" t="s">
        <v>4988</v>
      </c>
      <c r="G59" s="55" t="s">
        <v>4989</v>
      </c>
    </row>
    <row r="60" spans="1:7" x14ac:dyDescent="0.25">
      <c r="A60" s="304" t="s">
        <v>4990</v>
      </c>
      <c r="B60" s="305" t="str">
        <f t="shared" si="1"/>
        <v>Basis for Preparation and other undertaking's general information</v>
      </c>
      <c r="C60" s="304" t="s">
        <v>4991</v>
      </c>
      <c r="D60" s="55" t="s">
        <v>4992</v>
      </c>
      <c r="E60" s="55" t="s">
        <v>4993</v>
      </c>
      <c r="F60" s="55" t="s">
        <v>4994</v>
      </c>
      <c r="G60" s="55" t="s">
        <v>4995</v>
      </c>
    </row>
    <row r="61" spans="1:7" x14ac:dyDescent="0.25">
      <c r="A61" s="304" t="s">
        <v>4996</v>
      </c>
      <c r="B61" s="305" t="str">
        <f t="shared" si="1"/>
        <v>List of subsidiaries</v>
      </c>
      <c r="C61" s="304" t="s">
        <v>4997</v>
      </c>
      <c r="D61" s="55" t="s">
        <v>4998</v>
      </c>
      <c r="E61" s="55" t="s">
        <v>4999</v>
      </c>
      <c r="F61" s="55" t="s">
        <v>5000</v>
      </c>
      <c r="G61" s="55" t="s">
        <v>5001</v>
      </c>
    </row>
    <row r="62" spans="1:7" x14ac:dyDescent="0.25">
      <c r="A62" s="304" t="s">
        <v>5002</v>
      </c>
      <c r="B62" s="305" t="str">
        <f t="shared" si="1"/>
        <v>Disclosure of sustainability-related certification(s) or label(s)</v>
      </c>
      <c r="C62" s="304" t="s">
        <v>5003</v>
      </c>
      <c r="D62" s="55" t="s">
        <v>5004</v>
      </c>
      <c r="E62" s="55" t="s">
        <v>5005</v>
      </c>
      <c r="F62" s="55" t="s">
        <v>5006</v>
      </c>
      <c r="G62" s="55" t="s">
        <v>5007</v>
      </c>
    </row>
    <row r="63" spans="1:7" x14ac:dyDescent="0.25">
      <c r="A63" s="304" t="s">
        <v>5008</v>
      </c>
      <c r="B63" s="305" t="str">
        <f t="shared" si="1"/>
        <v>List of site(s)</v>
      </c>
      <c r="C63" s="304" t="s">
        <v>5009</v>
      </c>
      <c r="D63" s="55" t="s">
        <v>5010</v>
      </c>
      <c r="E63" s="55" t="s">
        <v>5011</v>
      </c>
      <c r="F63" s="55" t="s">
        <v>5012</v>
      </c>
      <c r="G63" s="55" t="s">
        <v>5013</v>
      </c>
    </row>
    <row r="64" spans="1:7" x14ac:dyDescent="0.25">
      <c r="A64" s="304" t="s">
        <v>5014</v>
      </c>
      <c r="B64" s="305" t="str">
        <f t="shared" si="1"/>
        <v>· B2 - Practices, policies and future initiatives for transitioning towards a more sustainable economy</v>
      </c>
      <c r="C64" s="304" t="s">
        <v>5015</v>
      </c>
      <c r="D64" s="55" t="s">
        <v>5016</v>
      </c>
      <c r="E64" s="55" t="s">
        <v>5017</v>
      </c>
      <c r="F64" s="55" t="s">
        <v>5018</v>
      </c>
      <c r="G64" s="55" t="s">
        <v>5019</v>
      </c>
    </row>
    <row r="65" spans="1:7" x14ac:dyDescent="0.25">
      <c r="A65" s="304" t="s">
        <v>5020</v>
      </c>
      <c r="B65" s="305" t="str">
        <f t="shared" si="1"/>
        <v>Practices, policies and future initiatives for transitioning towards a more sustainable economy</v>
      </c>
      <c r="C65" s="304" t="s">
        <v>5021</v>
      </c>
      <c r="D65" s="55" t="s">
        <v>5016</v>
      </c>
      <c r="E65" s="55" t="s">
        <v>5022</v>
      </c>
      <c r="F65" s="55" t="s">
        <v>5023</v>
      </c>
      <c r="G65" s="55" t="s">
        <v>5024</v>
      </c>
    </row>
    <row r="66" spans="1:7" x14ac:dyDescent="0.25">
      <c r="A66" s="304" t="s">
        <v>5025</v>
      </c>
      <c r="B66" s="305" t="str">
        <f t="shared" si="1"/>
        <v>Cooperative specific disclosures</v>
      </c>
      <c r="C66" s="304" t="s">
        <v>5026</v>
      </c>
      <c r="D66" s="55" t="s">
        <v>5027</v>
      </c>
      <c r="E66" s="55" t="s">
        <v>5028</v>
      </c>
      <c r="F66" s="55" t="s">
        <v>5029</v>
      </c>
      <c r="G66" s="55" t="s">
        <v>5030</v>
      </c>
    </row>
    <row r="67" spans="1:7" x14ac:dyDescent="0.25">
      <c r="A67" s="304" t="s">
        <v>5031</v>
      </c>
      <c r="B67" s="305" t="str">
        <f t="shared" si="1"/>
        <v>Environmental Disclosures</v>
      </c>
      <c r="C67" s="304" t="s">
        <v>5032</v>
      </c>
      <c r="D67" s="55" t="s">
        <v>5033</v>
      </c>
      <c r="E67" s="55" t="s">
        <v>5034</v>
      </c>
      <c r="F67" s="55" t="s">
        <v>5035</v>
      </c>
      <c r="G67" s="55" t="s">
        <v>5036</v>
      </c>
    </row>
    <row r="68" spans="1:7" x14ac:dyDescent="0.25">
      <c r="A68" s="304" t="s">
        <v>5037</v>
      </c>
      <c r="B68" s="305" t="str">
        <f t="shared" ref="B68:B131" si="2">INDEX(C68:G68,MATCH(template_selected_display_language,$C$3:$G$3,0))</f>
        <v>· B3 - Energy and greenhouse gas emissions</v>
      </c>
      <c r="C68" s="304" t="s">
        <v>5038</v>
      </c>
      <c r="D68" s="55" t="s">
        <v>5039</v>
      </c>
      <c r="E68" s="55" t="s">
        <v>5040</v>
      </c>
      <c r="F68" s="55" t="s">
        <v>5041</v>
      </c>
      <c r="G68" s="55" t="s">
        <v>5042</v>
      </c>
    </row>
    <row r="69" spans="1:7" x14ac:dyDescent="0.25">
      <c r="A69" s="304" t="s">
        <v>5043</v>
      </c>
      <c r="B69" s="305" t="str">
        <f t="shared" si="2"/>
        <v>Total Energy Consumption (in MWh)</v>
      </c>
      <c r="C69" s="304" t="s">
        <v>5044</v>
      </c>
      <c r="D69" s="55" t="s">
        <v>5045</v>
      </c>
      <c r="E69" s="55" t="s">
        <v>5046</v>
      </c>
      <c r="F69" s="55" t="s">
        <v>5047</v>
      </c>
      <c r="G69" s="55" t="s">
        <v>5048</v>
      </c>
    </row>
    <row r="70" spans="1:7" x14ac:dyDescent="0.25">
      <c r="A70" s="304" t="s">
        <v>5049</v>
      </c>
      <c r="B70" s="305" t="str">
        <f t="shared" si="2"/>
        <v>Breakdown of energy consumption (in MWh)</v>
      </c>
      <c r="C70" s="304" t="s">
        <v>5050</v>
      </c>
      <c r="D70" s="55" t="s">
        <v>5051</v>
      </c>
      <c r="E70" s="55" t="s">
        <v>5052</v>
      </c>
      <c r="F70" s="55" t="s">
        <v>5053</v>
      </c>
      <c r="G70" s="55" t="s">
        <v>5054</v>
      </c>
    </row>
    <row r="71" spans="1:7" x14ac:dyDescent="0.25">
      <c r="A71" s="304" t="s">
        <v>5055</v>
      </c>
      <c r="B71" s="305" t="str">
        <f t="shared" si="2"/>
        <v>Estimated Greenhouse Gas Emissions considering the GHG Protocol Version 2004 (in tCO2e)</v>
      </c>
      <c r="C71" s="304" t="s">
        <v>5056</v>
      </c>
      <c r="D71" s="55" t="s">
        <v>5057</v>
      </c>
      <c r="E71" s="55" t="s">
        <v>5058</v>
      </c>
      <c r="F71" s="55" t="s">
        <v>5059</v>
      </c>
      <c r="G71" s="55" t="s">
        <v>5060</v>
      </c>
    </row>
    <row r="72" spans="1:7" x14ac:dyDescent="0.25">
      <c r="A72" s="304" t="s">
        <v>5061</v>
      </c>
      <c r="B72" s="305" t="str">
        <f t="shared" si="2"/>
        <v>Greenhouse gas emission intensity per turnover</v>
      </c>
      <c r="C72" s="304" t="s">
        <v>5062</v>
      </c>
      <c r="D72" s="55" t="s">
        <v>5063</v>
      </c>
      <c r="E72" s="55" t="s">
        <v>5064</v>
      </c>
      <c r="F72" s="55" t="s">
        <v>5065</v>
      </c>
      <c r="G72" s="55" t="s">
        <v>5066</v>
      </c>
    </row>
    <row r="73" spans="1:7" x14ac:dyDescent="0.25">
      <c r="A73" s="304" t="s">
        <v>5067</v>
      </c>
      <c r="B73" s="305" t="str">
        <f t="shared" si="2"/>
        <v>· B4 - Pollution of air, water and soil</v>
      </c>
      <c r="C73" s="304" t="s">
        <v>5068</v>
      </c>
      <c r="D73" s="55" t="s">
        <v>5069</v>
      </c>
      <c r="E73" s="55" t="s">
        <v>5070</v>
      </c>
      <c r="F73" s="55" t="s">
        <v>5071</v>
      </c>
      <c r="G73" s="55" t="s">
        <v>5072</v>
      </c>
    </row>
    <row r="74" spans="1:7" x14ac:dyDescent="0.25">
      <c r="A74" s="304" t="s">
        <v>5073</v>
      </c>
      <c r="B74" s="305" t="str">
        <f t="shared" si="2"/>
        <v>· B5 - Biodiversity</v>
      </c>
      <c r="C74" s="304" t="s">
        <v>5074</v>
      </c>
      <c r="D74" s="55" t="s">
        <v>5075</v>
      </c>
      <c r="E74" s="55" t="s">
        <v>5076</v>
      </c>
      <c r="F74" s="55" t="s">
        <v>5077</v>
      </c>
      <c r="G74" s="55" t="s">
        <v>5078</v>
      </c>
    </row>
    <row r="75" spans="1:7" x14ac:dyDescent="0.25">
      <c r="A75" s="304" t="s">
        <v>5079</v>
      </c>
      <c r="B75" s="305" t="str">
        <f t="shared" si="2"/>
        <v>Sites in biodiversity sensitive areas</v>
      </c>
      <c r="C75" s="304" t="s">
        <v>5080</v>
      </c>
      <c r="D75" s="55" t="s">
        <v>5081</v>
      </c>
      <c r="E75" s="55" t="s">
        <v>5082</v>
      </c>
      <c r="F75" s="55" t="s">
        <v>5083</v>
      </c>
      <c r="G75" s="55" t="s">
        <v>5084</v>
      </c>
    </row>
    <row r="76" spans="1:7" x14ac:dyDescent="0.25">
      <c r="A76" s="304" t="s">
        <v>5085</v>
      </c>
      <c r="B76" s="305" t="str">
        <f t="shared" si="2"/>
        <v>Biodiversity - Land-use</v>
      </c>
      <c r="C76" s="304" t="s">
        <v>5086</v>
      </c>
      <c r="D76" s="55" t="s">
        <v>5087</v>
      </c>
      <c r="E76" s="55" t="s">
        <v>5088</v>
      </c>
      <c r="F76" s="55" t="s">
        <v>5089</v>
      </c>
      <c r="G76" s="55" t="s">
        <v>5090</v>
      </c>
    </row>
    <row r="77" spans="1:7" x14ac:dyDescent="0.25">
      <c r="A77" s="304" t="s">
        <v>5091</v>
      </c>
      <c r="B77" s="305" t="str">
        <f t="shared" si="2"/>
        <v>· B6 - Water</v>
      </c>
      <c r="C77" s="304" t="s">
        <v>5092</v>
      </c>
      <c r="D77" s="55" t="s">
        <v>5093</v>
      </c>
      <c r="E77" s="55" t="s">
        <v>5094</v>
      </c>
      <c r="F77" s="55" t="s">
        <v>5095</v>
      </c>
      <c r="G77" s="55" t="s">
        <v>5096</v>
      </c>
    </row>
    <row r="78" spans="1:7" x14ac:dyDescent="0.25">
      <c r="A78" s="304" t="s">
        <v>5097</v>
      </c>
      <c r="B78" s="305" t="str">
        <f t="shared" si="2"/>
        <v>Water Withdrawal</v>
      </c>
      <c r="C78" s="304" t="s">
        <v>5098</v>
      </c>
      <c r="D78" s="55" t="s">
        <v>5099</v>
      </c>
      <c r="E78" s="55" t="s">
        <v>5100</v>
      </c>
      <c r="F78" s="55" t="s">
        <v>5101</v>
      </c>
      <c r="G78" s="55" t="s">
        <v>5102</v>
      </c>
    </row>
    <row r="79" spans="1:7" x14ac:dyDescent="0.25">
      <c r="A79" s="304" t="s">
        <v>5103</v>
      </c>
      <c r="B79" s="305" t="str">
        <f t="shared" si="2"/>
        <v>Water Consumption</v>
      </c>
      <c r="C79" s="304" t="s">
        <v>5104</v>
      </c>
      <c r="D79" s="55" t="s">
        <v>5105</v>
      </c>
      <c r="E79" s="55" t="s">
        <v>5106</v>
      </c>
      <c r="F79" s="55" t="s">
        <v>5107</v>
      </c>
      <c r="G79" s="55" t="s">
        <v>5108</v>
      </c>
    </row>
    <row r="80" spans="1:7" x14ac:dyDescent="0.25">
      <c r="A80" s="304" t="s">
        <v>5109</v>
      </c>
      <c r="B80" s="305" t="str">
        <f t="shared" si="2"/>
        <v>· B7 - Resource use, circular economy and waste management</v>
      </c>
      <c r="C80" s="304" t="s">
        <v>5110</v>
      </c>
      <c r="D80" s="55" t="s">
        <v>5111</v>
      </c>
      <c r="E80" s="55" t="s">
        <v>5112</v>
      </c>
      <c r="F80" s="55" t="s">
        <v>5113</v>
      </c>
      <c r="G80" s="55" t="s">
        <v>5114</v>
      </c>
    </row>
    <row r="81" spans="1:7" x14ac:dyDescent="0.25">
      <c r="A81" s="304" t="s">
        <v>5115</v>
      </c>
      <c r="B81" s="305" t="str">
        <f t="shared" si="2"/>
        <v>Description of circular economy principles</v>
      </c>
      <c r="C81" s="304" t="s">
        <v>5116</v>
      </c>
      <c r="D81" s="55" t="s">
        <v>5117</v>
      </c>
      <c r="E81" s="55" t="s">
        <v>5112</v>
      </c>
      <c r="F81" s="55" t="s">
        <v>5118</v>
      </c>
      <c r="G81" s="55" t="s">
        <v>5119</v>
      </c>
    </row>
    <row r="82" spans="1:7" x14ac:dyDescent="0.25">
      <c r="A82" s="304" t="s">
        <v>5120</v>
      </c>
      <c r="B82" s="305" t="str">
        <f t="shared" si="2"/>
        <v>Waste generated</v>
      </c>
      <c r="C82" s="304" t="s">
        <v>5121</v>
      </c>
      <c r="D82" s="55" t="s">
        <v>5122</v>
      </c>
      <c r="E82" s="55" t="s">
        <v>5123</v>
      </c>
      <c r="F82" s="55" t="s">
        <v>5124</v>
      </c>
      <c r="G82" s="55" t="s">
        <v>5125</v>
      </c>
    </row>
    <row r="83" spans="1:7" x14ac:dyDescent="0.25">
      <c r="A83" s="304" t="s">
        <v>5126</v>
      </c>
      <c r="B83" s="305" t="str">
        <f t="shared" si="2"/>
        <v>Annual mass-flow of relevant materials used</v>
      </c>
      <c r="C83" s="304" t="s">
        <v>5127</v>
      </c>
      <c r="D83" s="55" t="s">
        <v>5128</v>
      </c>
      <c r="E83" s="55" t="s">
        <v>5129</v>
      </c>
      <c r="F83" s="55" t="s">
        <v>5130</v>
      </c>
      <c r="G83" s="55" t="s">
        <v>5131</v>
      </c>
    </row>
    <row r="84" spans="1:7" x14ac:dyDescent="0.25">
      <c r="A84" s="304" t="s">
        <v>5132</v>
      </c>
      <c r="B84" s="305" t="str">
        <f t="shared" si="2"/>
        <v>Social Disclosures</v>
      </c>
      <c r="C84" s="304" t="s">
        <v>5133</v>
      </c>
      <c r="D84" s="55" t="s">
        <v>5134</v>
      </c>
      <c r="E84" s="55" t="s">
        <v>5135</v>
      </c>
      <c r="F84" s="55" t="s">
        <v>5136</v>
      </c>
      <c r="G84" s="55" t="s">
        <v>5137</v>
      </c>
    </row>
    <row r="85" spans="1:7" x14ac:dyDescent="0.25">
      <c r="A85" s="304" t="s">
        <v>5138</v>
      </c>
      <c r="B85" s="305" t="str">
        <f t="shared" si="2"/>
        <v>· B8 - Workforce - General characteristics</v>
      </c>
      <c r="C85" s="304" t="s">
        <v>5139</v>
      </c>
      <c r="D85" s="55" t="s">
        <v>5140</v>
      </c>
      <c r="E85" s="55" t="s">
        <v>5141</v>
      </c>
      <c r="F85" s="55" t="s">
        <v>5142</v>
      </c>
      <c r="G85" s="55" t="s">
        <v>5143</v>
      </c>
    </row>
    <row r="86" spans="1:7" x14ac:dyDescent="0.25">
      <c r="A86" s="304" t="s">
        <v>5144</v>
      </c>
      <c r="B86" s="305" t="str">
        <f t="shared" si="2"/>
        <v>Type of contract</v>
      </c>
      <c r="C86" s="304" t="s">
        <v>5145</v>
      </c>
      <c r="D86" s="55" t="s">
        <v>5146</v>
      </c>
      <c r="E86" s="55" t="s">
        <v>5147</v>
      </c>
      <c r="F86" s="55" t="s">
        <v>5148</v>
      </c>
      <c r="G86" s="55" t="s">
        <v>5148</v>
      </c>
    </row>
    <row r="87" spans="1:7" x14ac:dyDescent="0.25">
      <c r="A87" s="304" t="s">
        <v>5149</v>
      </c>
      <c r="B87" s="305" t="str">
        <f t="shared" si="2"/>
        <v>Gender</v>
      </c>
      <c r="C87" s="304" t="s">
        <v>5150</v>
      </c>
      <c r="D87" s="55" t="s">
        <v>5151</v>
      </c>
      <c r="E87" s="55" t="s">
        <v>5152</v>
      </c>
      <c r="F87" s="55" t="s">
        <v>5153</v>
      </c>
      <c r="G87" s="55" t="s">
        <v>5153</v>
      </c>
    </row>
    <row r="88" spans="1:7" x14ac:dyDescent="0.25">
      <c r="A88" s="304" t="s">
        <v>5154</v>
      </c>
      <c r="B88" s="305" t="str">
        <f t="shared" si="2"/>
        <v>Country of employment</v>
      </c>
      <c r="C88" s="304" t="s">
        <v>5155</v>
      </c>
      <c r="D88" s="55" t="s">
        <v>5156</v>
      </c>
      <c r="E88" s="55" t="s">
        <v>5157</v>
      </c>
      <c r="F88" s="55" t="s">
        <v>5158</v>
      </c>
      <c r="G88" s="55" t="s">
        <v>5159</v>
      </c>
    </row>
    <row r="89" spans="1:7" x14ac:dyDescent="0.25">
      <c r="A89" s="304" t="s">
        <v>5160</v>
      </c>
      <c r="B89" s="305" t="str">
        <f t="shared" si="2"/>
        <v>Turnover rate</v>
      </c>
      <c r="C89" s="304" t="s">
        <v>5161</v>
      </c>
      <c r="D89" s="55" t="s">
        <v>5162</v>
      </c>
      <c r="E89" s="55" t="s">
        <v>5163</v>
      </c>
      <c r="F89" s="55" t="s">
        <v>5164</v>
      </c>
      <c r="G89" s="55" t="s">
        <v>5165</v>
      </c>
    </row>
    <row r="90" spans="1:7" x14ac:dyDescent="0.25">
      <c r="A90" s="304" t="s">
        <v>5166</v>
      </c>
      <c r="B90" s="305" t="str">
        <f t="shared" si="2"/>
        <v>· B9 - Workforce – Health and safety</v>
      </c>
      <c r="C90" s="304" t="s">
        <v>5167</v>
      </c>
      <c r="D90" s="55" t="s">
        <v>5168</v>
      </c>
      <c r="E90" s="55" t="s">
        <v>5169</v>
      </c>
      <c r="F90" s="55" t="s">
        <v>5170</v>
      </c>
      <c r="G90" s="55" t="s">
        <v>5171</v>
      </c>
    </row>
    <row r="91" spans="1:7" x14ac:dyDescent="0.25">
      <c r="A91" s="304" t="s">
        <v>5172</v>
      </c>
      <c r="B91" s="305" t="str">
        <f t="shared" si="2"/>
        <v>· B10 - Workforce – Remuneration, collective bargaining and training</v>
      </c>
      <c r="C91" s="304" t="s">
        <v>5173</v>
      </c>
      <c r="D91" s="55" t="s">
        <v>5174</v>
      </c>
      <c r="E91" s="55" t="s">
        <v>5175</v>
      </c>
      <c r="F91" s="55" t="s">
        <v>5176</v>
      </c>
      <c r="G91" s="55" t="s">
        <v>5177</v>
      </c>
    </row>
    <row r="92" spans="1:7" x14ac:dyDescent="0.25">
      <c r="A92" s="304" t="s">
        <v>5178</v>
      </c>
      <c r="B92" s="305" t="str">
        <f t="shared" si="2"/>
        <v>Governance Disclosures</v>
      </c>
      <c r="C92" s="304" t="s">
        <v>5179</v>
      </c>
      <c r="D92" s="55" t="s">
        <v>5180</v>
      </c>
      <c r="E92" s="55" t="s">
        <v>5181</v>
      </c>
      <c r="F92" s="55" t="s">
        <v>5182</v>
      </c>
      <c r="G92" s="55" t="s">
        <v>5183</v>
      </c>
    </row>
    <row r="93" spans="1:7" x14ac:dyDescent="0.25">
      <c r="A93" s="304" t="s">
        <v>5184</v>
      </c>
      <c r="B93" s="305" t="str">
        <f t="shared" si="2"/>
        <v>· B11 - Convictions and fines for corruption and bribery</v>
      </c>
      <c r="C93" s="304" t="s">
        <v>5185</v>
      </c>
      <c r="D93" s="55" t="s">
        <v>5186</v>
      </c>
      <c r="E93" s="55" t="s">
        <v>5187</v>
      </c>
      <c r="F93" s="55" t="s">
        <v>5188</v>
      </c>
      <c r="G93" s="55" t="s">
        <v>5189</v>
      </c>
    </row>
    <row r="94" spans="1:7" x14ac:dyDescent="0.25">
      <c r="A94" s="304" t="s">
        <v>5190</v>
      </c>
      <c r="B94" s="305" t="str">
        <f t="shared" si="2"/>
        <v>Comprehensive Module</v>
      </c>
      <c r="C94" s="304" t="s">
        <v>4873</v>
      </c>
      <c r="D94" s="55" t="s">
        <v>5191</v>
      </c>
      <c r="E94" s="55" t="s">
        <v>4875</v>
      </c>
      <c r="F94" s="55" t="s">
        <v>5192</v>
      </c>
      <c r="G94" s="55" t="s">
        <v>4876</v>
      </c>
    </row>
    <row r="95" spans="1:7" x14ac:dyDescent="0.25">
      <c r="A95" s="304" t="s">
        <v>5193</v>
      </c>
      <c r="B95" s="305" t="str">
        <f t="shared" si="2"/>
        <v>· C1 - Strategy: Business Model and Sustainability – Related Initiatives</v>
      </c>
      <c r="C95" s="304" t="s">
        <v>5194</v>
      </c>
      <c r="D95" s="55" t="s">
        <v>5195</v>
      </c>
      <c r="E95" s="55" t="s">
        <v>5196</v>
      </c>
      <c r="F95" s="55" t="s">
        <v>5197</v>
      </c>
      <c r="G95" s="55" t="s">
        <v>5198</v>
      </c>
    </row>
    <row r="96" spans="1:7" x14ac:dyDescent="0.25">
      <c r="A96" s="304" t="s">
        <v>5199</v>
      </c>
      <c r="B96" s="305" t="str">
        <f t="shared" si="2"/>
        <v>· C2 - Description of practices, policies and future initiatives for transitioning towards a more sustainable economy</v>
      </c>
      <c r="C96" s="304" t="s">
        <v>5200</v>
      </c>
      <c r="D96" s="55" t="s">
        <v>5201</v>
      </c>
      <c r="E96" s="55" t="s">
        <v>5202</v>
      </c>
      <c r="F96" s="55" t="s">
        <v>5203</v>
      </c>
      <c r="G96" s="55" t="s">
        <v>5204</v>
      </c>
    </row>
    <row r="97" spans="1:7" x14ac:dyDescent="0.25">
      <c r="A97" s="304" t="s">
        <v>5205</v>
      </c>
      <c r="B97" s="305" t="str">
        <f t="shared" si="2"/>
        <v>· C3 - GHG reduction targets and climate transition</v>
      </c>
      <c r="C97" s="304" t="s">
        <v>5206</v>
      </c>
      <c r="D97" s="55" t="s">
        <v>5207</v>
      </c>
      <c r="E97" s="55" t="s">
        <v>5208</v>
      </c>
      <c r="F97" s="55" t="s">
        <v>5209</v>
      </c>
      <c r="G97" s="55" t="s">
        <v>5210</v>
      </c>
    </row>
    <row r="98" spans="1:7" x14ac:dyDescent="0.25">
      <c r="A98" s="304" t="s">
        <v>5211</v>
      </c>
      <c r="B98" s="305" t="str">
        <f t="shared" si="2"/>
        <v>GHG reduction targets (in tC02e)</v>
      </c>
      <c r="C98" s="304" t="s">
        <v>5212</v>
      </c>
      <c r="D98" s="55" t="s">
        <v>5213</v>
      </c>
      <c r="E98" s="55" t="s">
        <v>5214</v>
      </c>
      <c r="F98" s="55" t="s">
        <v>5215</v>
      </c>
      <c r="G98" s="55" t="s">
        <v>5216</v>
      </c>
    </row>
    <row r="99" spans="1:7" x14ac:dyDescent="0.25">
      <c r="A99" s="304" t="s">
        <v>5217</v>
      </c>
      <c r="B99" s="305" t="str">
        <f t="shared" si="2"/>
        <v>Disclosure of list of main actions the entity seeks in order  to achieve its targets</v>
      </c>
      <c r="C99" s="304" t="s">
        <v>5218</v>
      </c>
      <c r="D99" s="55" t="s">
        <v>5219</v>
      </c>
      <c r="E99" s="55" t="s">
        <v>5220</v>
      </c>
      <c r="F99" s="55" t="s">
        <v>5221</v>
      </c>
      <c r="G99" s="55" t="s">
        <v>5222</v>
      </c>
    </row>
    <row r="100" spans="1:7" x14ac:dyDescent="0.25">
      <c r="A100" s="304" t="s">
        <v>5223</v>
      </c>
      <c r="B100" s="305" t="str">
        <f t="shared" si="2"/>
        <v>Transition plan for undertakings operating in high climate impact sectors</v>
      </c>
      <c r="C100" s="304" t="s">
        <v>5224</v>
      </c>
      <c r="D100" s="55" t="s">
        <v>5225</v>
      </c>
      <c r="E100" s="55" t="s">
        <v>5226</v>
      </c>
      <c r="F100" s="55" t="s">
        <v>5227</v>
      </c>
      <c r="G100" s="55" t="s">
        <v>5228</v>
      </c>
    </row>
    <row r="101" spans="1:7" x14ac:dyDescent="0.25">
      <c r="A101" s="304" t="s">
        <v>5229</v>
      </c>
      <c r="B101" s="305" t="str">
        <f t="shared" si="2"/>
        <v>· C4 - Climate risks</v>
      </c>
      <c r="C101" s="304" t="s">
        <v>5230</v>
      </c>
      <c r="D101" s="55" t="s">
        <v>5231</v>
      </c>
      <c r="E101" s="55" t="s">
        <v>5232</v>
      </c>
      <c r="F101" s="55" t="s">
        <v>5233</v>
      </c>
      <c r="G101" s="55" t="s">
        <v>5234</v>
      </c>
    </row>
    <row r="102" spans="1:7" x14ac:dyDescent="0.25">
      <c r="A102" s="304" t="s">
        <v>5235</v>
      </c>
      <c r="B102" s="305" t="str">
        <f t="shared" si="2"/>
        <v>· C5 - Additional (general) workforce characteristics</v>
      </c>
      <c r="C102" s="304" t="s">
        <v>5236</v>
      </c>
      <c r="D102" s="55" t="s">
        <v>5237</v>
      </c>
      <c r="E102" s="55" t="s">
        <v>5238</v>
      </c>
      <c r="F102" s="55" t="s">
        <v>5239</v>
      </c>
      <c r="G102" s="55" t="s">
        <v>5240</v>
      </c>
    </row>
    <row r="103" spans="1:7" x14ac:dyDescent="0.25">
      <c r="A103" s="304" t="s">
        <v>5241</v>
      </c>
      <c r="B103" s="305" t="str">
        <f t="shared" si="2"/>
        <v>· C6 - Additional own workforce information - Human rights policies and processes</v>
      </c>
      <c r="C103" s="304" t="s">
        <v>5242</v>
      </c>
      <c r="D103" s="55" t="s">
        <v>5243</v>
      </c>
      <c r="E103" s="55" t="s">
        <v>5244</v>
      </c>
      <c r="F103" s="55" t="s">
        <v>5245</v>
      </c>
      <c r="G103" s="55" t="s">
        <v>5246</v>
      </c>
    </row>
    <row r="104" spans="1:7" x14ac:dyDescent="0.25">
      <c r="A104" s="304" t="s">
        <v>5247</v>
      </c>
      <c r="B104" s="305" t="str">
        <f t="shared" si="2"/>
        <v>· C7 - Severe negative human rights incidents</v>
      </c>
      <c r="C104" s="304" t="s">
        <v>5248</v>
      </c>
      <c r="D104" s="55" t="s">
        <v>5249</v>
      </c>
      <c r="E104" s="55" t="s">
        <v>5250</v>
      </c>
      <c r="F104" s="55" t="s">
        <v>5251</v>
      </c>
      <c r="G104" s="55" t="s">
        <v>5252</v>
      </c>
    </row>
    <row r="105" spans="1:7" x14ac:dyDescent="0.25">
      <c r="A105" s="304" t="s">
        <v>5253</v>
      </c>
      <c r="B105" s="305" t="str">
        <f t="shared" si="2"/>
        <v>· C8 - Revenues from certain activities and exclusion from EU reference benchmarks</v>
      </c>
      <c r="C105" s="304" t="s">
        <v>5254</v>
      </c>
      <c r="D105" s="55" t="s">
        <v>5255</v>
      </c>
      <c r="E105" s="55" t="s">
        <v>5256</v>
      </c>
      <c r="F105" s="55" t="s">
        <v>5257</v>
      </c>
      <c r="G105" s="55" t="s">
        <v>5258</v>
      </c>
    </row>
    <row r="106" spans="1:7" x14ac:dyDescent="0.25">
      <c r="A106" s="304" t="s">
        <v>5259</v>
      </c>
      <c r="B106" s="305" t="str">
        <f t="shared" si="2"/>
        <v>Revenues from certain activities</v>
      </c>
      <c r="C106" s="304" t="s">
        <v>5260</v>
      </c>
      <c r="D106" t="s">
        <v>5261</v>
      </c>
      <c r="E106" s="55" t="s">
        <v>5262</v>
      </c>
      <c r="F106" s="55" t="s">
        <v>5263</v>
      </c>
      <c r="G106" s="55" t="s">
        <v>5264</v>
      </c>
    </row>
    <row r="107" spans="1:7" x14ac:dyDescent="0.25">
      <c r="A107" s="304" t="s">
        <v>5265</v>
      </c>
      <c r="B107" s="305" t="str">
        <f t="shared" si="2"/>
        <v>Exclusion from EU reference benchmarks</v>
      </c>
      <c r="C107" s="304" t="s">
        <v>5266</v>
      </c>
      <c r="D107" s="55" t="s">
        <v>5267</v>
      </c>
      <c r="E107" s="55" t="s">
        <v>5268</v>
      </c>
      <c r="F107" s="55" t="s">
        <v>5269</v>
      </c>
      <c r="G107" s="55" t="s">
        <v>5270</v>
      </c>
    </row>
    <row r="108" spans="1:7" x14ac:dyDescent="0.25">
      <c r="A108" s="304" t="s">
        <v>5271</v>
      </c>
      <c r="B108" s="305" t="str">
        <f t="shared" si="2"/>
        <v>· C9 - Gender diversity ratio in the governance body</v>
      </c>
      <c r="C108" s="304" t="s">
        <v>5272</v>
      </c>
      <c r="D108" s="55" t="s">
        <v>5273</v>
      </c>
      <c r="E108" s="55" t="s">
        <v>5274</v>
      </c>
      <c r="F108" s="55" t="s">
        <v>5275</v>
      </c>
      <c r="G108" s="55" t="s">
        <v>5276</v>
      </c>
    </row>
    <row r="109" spans="1:7" x14ac:dyDescent="0.25">
      <c r="A109" s="304" t="s">
        <v>5277</v>
      </c>
      <c r="B109" s="305" t="str">
        <f t="shared" si="2"/>
        <v>Additional Disclosures</v>
      </c>
      <c r="C109" s="304" t="s">
        <v>5278</v>
      </c>
      <c r="D109" s="55" t="s">
        <v>5279</v>
      </c>
      <c r="E109" s="55" t="s">
        <v>5280</v>
      </c>
      <c r="F109" s="55" t="s">
        <v>5281</v>
      </c>
      <c r="G109" s="55" t="s">
        <v>5282</v>
      </c>
    </row>
    <row r="110" spans="1:7" x14ac:dyDescent="0.25">
      <c r="A110" s="304" t="s">
        <v>5283</v>
      </c>
      <c r="B110" s="305" t="str">
        <f t="shared" si="2"/>
        <v>· Disclosure of any other general and/or entity specific information on the reporting period</v>
      </c>
      <c r="C110" s="304" t="s">
        <v>5284</v>
      </c>
      <c r="D110" s="55" t="s">
        <v>5285</v>
      </c>
      <c r="E110" s="55" t="s">
        <v>5286</v>
      </c>
      <c r="F110" s="55" t="s">
        <v>5287</v>
      </c>
      <c r="G110" s="55" t="s">
        <v>5288</v>
      </c>
    </row>
    <row r="111" spans="1:7" x14ac:dyDescent="0.25">
      <c r="A111" s="304" t="s">
        <v>5289</v>
      </c>
      <c r="B111" s="305" t="str">
        <f t="shared" si="2"/>
        <v>· Disclosure of any other environmental and/or entity specific environmental disclosures</v>
      </c>
      <c r="C111" s="304" t="s">
        <v>5290</v>
      </c>
      <c r="D111" s="55" t="s">
        <v>5291</v>
      </c>
      <c r="E111" s="55" t="s">
        <v>5292</v>
      </c>
      <c r="F111" s="55" t="s">
        <v>5293</v>
      </c>
      <c r="G111" s="55" t="s">
        <v>5294</v>
      </c>
    </row>
    <row r="112" spans="1:7" x14ac:dyDescent="0.25">
      <c r="A112" s="304" t="s">
        <v>5295</v>
      </c>
      <c r="B112" s="305" t="str">
        <f t="shared" si="2"/>
        <v>· Disclosure of any other social and/or entity specific social disclosures</v>
      </c>
      <c r="C112" s="304" t="s">
        <v>5296</v>
      </c>
      <c r="D112" s="55" t="s">
        <v>5297</v>
      </c>
      <c r="E112" s="55" t="s">
        <v>5298</v>
      </c>
      <c r="F112" s="55" t="s">
        <v>5299</v>
      </c>
      <c r="G112" s="55" t="s">
        <v>5300</v>
      </c>
    </row>
    <row r="113" spans="1:7" s="9" customFormat="1" ht="15.75" thickBot="1" x14ac:dyDescent="0.3">
      <c r="A113" s="316" t="s">
        <v>5301</v>
      </c>
      <c r="B113" s="332" t="str">
        <f t="shared" si="2"/>
        <v>· Disclosure of any other governance and/or entity specific governance disclosures</v>
      </c>
      <c r="C113" s="316" t="s">
        <v>5302</v>
      </c>
      <c r="D113" s="306" t="s">
        <v>5303</v>
      </c>
      <c r="E113" s="306" t="s">
        <v>5304</v>
      </c>
      <c r="F113" s="306" t="s">
        <v>5305</v>
      </c>
      <c r="G113" s="306" t="s">
        <v>5306</v>
      </c>
    </row>
    <row r="114" spans="1:7" x14ac:dyDescent="0.25">
      <c r="A114" t="s">
        <v>5307</v>
      </c>
      <c r="B114" s="305" t="str">
        <f t="shared" si="2"/>
        <v>Paragraph Reference</v>
      </c>
      <c r="C114" t="s">
        <v>180</v>
      </c>
      <c r="D114" s="55" t="s">
        <v>5308</v>
      </c>
      <c r="E114" s="55" t="s">
        <v>5309</v>
      </c>
      <c r="F114" s="55" t="s">
        <v>5310</v>
      </c>
      <c r="G114" s="55" t="s">
        <v>5311</v>
      </c>
    </row>
    <row r="115" spans="1:7" x14ac:dyDescent="0.25">
      <c r="A115" t="s">
        <v>5312</v>
      </c>
      <c r="B115" s="305" t="str">
        <f t="shared" si="2"/>
        <v>Paragraph Guidance Reference</v>
      </c>
      <c r="C115" t="s">
        <v>181</v>
      </c>
      <c r="D115" s="55" t="s">
        <v>5313</v>
      </c>
      <c r="E115" s="55" t="s">
        <v>5314</v>
      </c>
      <c r="F115" s="55" t="s">
        <v>5315</v>
      </c>
      <c r="G115" s="55" t="s">
        <v>5316</v>
      </c>
    </row>
    <row r="116" spans="1:7" x14ac:dyDescent="0.25">
      <c r="A116" t="s">
        <v>5317</v>
      </c>
      <c r="B116" s="305" t="str">
        <f t="shared" si="2"/>
        <v>from</v>
      </c>
      <c r="C116" t="s">
        <v>5318</v>
      </c>
      <c r="D116" s="55" t="s">
        <v>5319</v>
      </c>
      <c r="E116" s="55" t="s">
        <v>5320</v>
      </c>
      <c r="F116" s="55" t="s">
        <v>5321</v>
      </c>
      <c r="G116" s="55" t="s">
        <v>5321</v>
      </c>
    </row>
    <row r="117" spans="1:7" x14ac:dyDescent="0.25">
      <c r="A117" t="s">
        <v>5322</v>
      </c>
      <c r="B117" s="305" t="str">
        <f t="shared" si="2"/>
        <v>to</v>
      </c>
      <c r="C117" t="s">
        <v>5323</v>
      </c>
      <c r="D117" s="55" t="s">
        <v>5324</v>
      </c>
      <c r="E117" s="55" t="s">
        <v>5325</v>
      </c>
      <c r="F117" s="55" t="s">
        <v>5326</v>
      </c>
      <c r="G117" s="55" t="s">
        <v>5327</v>
      </c>
    </row>
    <row r="118" spans="1:7" s="9" customFormat="1" ht="15.75" thickBot="1" x14ac:dyDescent="0.3">
      <c r="A118" s="9" t="s">
        <v>5328</v>
      </c>
      <c r="B118" s="332" t="str">
        <f t="shared" si="2"/>
        <v>at</v>
      </c>
      <c r="C118" s="9" t="s">
        <v>5329</v>
      </c>
      <c r="D118" s="306" t="s">
        <v>5330</v>
      </c>
      <c r="E118" s="306" t="s">
        <v>5331</v>
      </c>
      <c r="F118" s="306" t="s">
        <v>5332</v>
      </c>
      <c r="G118" s="306" t="s">
        <v>4665</v>
      </c>
    </row>
    <row r="119" spans="1:7" x14ac:dyDescent="0.25">
      <c r="A119" t="s">
        <v>5333</v>
      </c>
      <c r="B119" s="305" t="str">
        <f t="shared" si="2"/>
        <v>[Always to be reported]</v>
      </c>
      <c r="C119" t="s">
        <v>5334</v>
      </c>
      <c r="D119" s="55" t="s">
        <v>5335</v>
      </c>
      <c r="E119" s="55" t="s">
        <v>5336</v>
      </c>
      <c r="F119" s="55" t="s">
        <v>5337</v>
      </c>
      <c r="G119" s="55" t="s">
        <v>5338</v>
      </c>
    </row>
    <row r="120" spans="1:7" x14ac:dyDescent="0.25">
      <c r="A120" t="s">
        <v>5339</v>
      </c>
      <c r="B120" s="305" t="str">
        <f t="shared" si="2"/>
        <v>[If applicable]</v>
      </c>
      <c r="C120" t="s">
        <v>5340</v>
      </c>
      <c r="D120" s="55" t="s">
        <v>5341</v>
      </c>
      <c r="E120" s="55" t="s">
        <v>5342</v>
      </c>
      <c r="F120" s="55" t="s">
        <v>5343</v>
      </c>
      <c r="G120" s="55" t="s">
        <v>5344</v>
      </c>
    </row>
    <row r="121" spans="1:7" x14ac:dyDescent="0.25">
      <c r="A121" t="s">
        <v>5345</v>
      </c>
      <c r="B121" s="305" t="str">
        <f t="shared" si="2"/>
        <v>[May (optional)]</v>
      </c>
      <c r="C121" t="s">
        <v>5346</v>
      </c>
      <c r="D121" s="55" t="s">
        <v>5347</v>
      </c>
      <c r="E121" s="55" t="s">
        <v>5348</v>
      </c>
      <c r="F121" s="55" t="s">
        <v>5349</v>
      </c>
      <c r="G121" s="55" t="s">
        <v>5350</v>
      </c>
    </row>
    <row r="122" spans="1:7" x14ac:dyDescent="0.25">
      <c r="A122" t="s">
        <v>5351</v>
      </c>
      <c r="B122" s="305" t="str">
        <f t="shared" si="2"/>
        <v>May (optional)</v>
      </c>
      <c r="C122" t="s">
        <v>5352</v>
      </c>
      <c r="D122" s="55" t="s">
        <v>5353</v>
      </c>
      <c r="E122" s="55" t="s">
        <v>5354</v>
      </c>
      <c r="F122" s="55" t="s">
        <v>5349</v>
      </c>
      <c r="G122" s="55" t="s">
        <v>5355</v>
      </c>
    </row>
    <row r="123" spans="1:7" x14ac:dyDescent="0.25">
      <c r="A123" t="s">
        <v>5356</v>
      </c>
      <c r="B123" s="305" t="str">
        <f t="shared" si="2"/>
        <v>[Always to be reported + If applicable]</v>
      </c>
      <c r="C123" t="s">
        <v>5357</v>
      </c>
      <c r="D123" s="55" t="s">
        <v>5358</v>
      </c>
      <c r="E123" s="55" t="s">
        <v>5359</v>
      </c>
      <c r="F123" s="55" t="s">
        <v>5360</v>
      </c>
      <c r="G123" s="55" t="s">
        <v>5361</v>
      </c>
    </row>
    <row r="124" spans="1:7" x14ac:dyDescent="0.25">
      <c r="A124" t="s">
        <v>5362</v>
      </c>
      <c r="B124" s="305" t="str">
        <f t="shared" si="2"/>
        <v>[If applicable linked with B2]</v>
      </c>
      <c r="C124" t="s">
        <v>5363</v>
      </c>
      <c r="D124" s="55" t="s">
        <v>5364</v>
      </c>
      <c r="E124" s="55" t="s">
        <v>5365</v>
      </c>
      <c r="F124" s="55" t="s">
        <v>5366</v>
      </c>
      <c r="G124" s="55" t="s">
        <v>5367</v>
      </c>
    </row>
    <row r="125" spans="1:7" s="9" customFormat="1" ht="15.75" thickBot="1" x14ac:dyDescent="0.3">
      <c r="A125" s="9" t="s">
        <v>5368</v>
      </c>
      <c r="B125" s="332" t="str">
        <f t="shared" si="2"/>
        <v>amount in</v>
      </c>
      <c r="C125" s="9" t="s">
        <v>5369</v>
      </c>
      <c r="D125" s="306" t="s">
        <v>5370</v>
      </c>
      <c r="E125" s="306" t="s">
        <v>5371</v>
      </c>
      <c r="F125" s="306" t="s">
        <v>5372</v>
      </c>
      <c r="G125" s="306" t="s">
        <v>5373</v>
      </c>
    </row>
    <row r="126" spans="1:7" x14ac:dyDescent="0.25">
      <c r="A126" t="s">
        <v>5374</v>
      </c>
      <c r="B126" s="305" t="str">
        <f t="shared" si="2"/>
        <v>Information on the report necessary for  XBRL</v>
      </c>
      <c r="C126" t="s">
        <v>5375</v>
      </c>
      <c r="D126" s="55" t="s">
        <v>5376</v>
      </c>
      <c r="E126" s="55" t="s">
        <v>5377</v>
      </c>
      <c r="F126" s="55" t="s">
        <v>5378</v>
      </c>
      <c r="G126" s="55" t="s">
        <v>5379</v>
      </c>
    </row>
    <row r="127" spans="1:7" x14ac:dyDescent="0.25">
      <c r="A127" t="s">
        <v>5380</v>
      </c>
      <c r="B127" s="305" t="str">
        <f t="shared" si="2"/>
        <v>Name of the reporting entity</v>
      </c>
      <c r="C127" t="s">
        <v>5381</v>
      </c>
      <c r="D127" s="55" t="s">
        <v>5382</v>
      </c>
      <c r="E127" s="55" t="s">
        <v>5383</v>
      </c>
      <c r="F127" s="55" t="s">
        <v>5384</v>
      </c>
      <c r="G127" s="55" t="s">
        <v>5385</v>
      </c>
    </row>
    <row r="128" spans="1:7" x14ac:dyDescent="0.25">
      <c r="A128" t="s">
        <v>5386</v>
      </c>
      <c r="B128" s="305" t="str">
        <f t="shared" si="2"/>
        <v>Identifier of the reporting entity (select and specify on the right)</v>
      </c>
      <c r="C128" t="s">
        <v>5387</v>
      </c>
      <c r="D128" s="55" t="s">
        <v>5388</v>
      </c>
      <c r="E128" s="55" t="s">
        <v>5389</v>
      </c>
      <c r="F128" s="55" t="s">
        <v>5390</v>
      </c>
      <c r="G128" s="55" t="s">
        <v>5391</v>
      </c>
    </row>
    <row r="129" spans="1:7" x14ac:dyDescent="0.25">
      <c r="A129" t="s">
        <v>5392</v>
      </c>
      <c r="B129" s="305" t="str">
        <f t="shared" si="2"/>
        <v>Currency of the monetary values in the report</v>
      </c>
      <c r="C129" t="s">
        <v>5393</v>
      </c>
      <c r="D129" s="55" t="s">
        <v>5394</v>
      </c>
      <c r="E129" s="55" t="s">
        <v>5395</v>
      </c>
      <c r="F129" s="55" t="s">
        <v>5396</v>
      </c>
      <c r="G129" s="55" t="s">
        <v>5397</v>
      </c>
    </row>
    <row r="130" spans="1:7" x14ac:dyDescent="0.25">
      <c r="A130" t="s">
        <v>5398</v>
      </c>
      <c r="B130" s="305" t="str">
        <f t="shared" si="2"/>
        <v>Starting year</v>
      </c>
      <c r="C130" t="s">
        <v>5399</v>
      </c>
      <c r="D130" s="55" t="s">
        <v>5400</v>
      </c>
      <c r="E130" s="55" t="s">
        <v>5401</v>
      </c>
      <c r="F130" s="55" t="s">
        <v>5402</v>
      </c>
      <c r="G130" s="55" t="s">
        <v>5403</v>
      </c>
    </row>
    <row r="131" spans="1:7" x14ac:dyDescent="0.25">
      <c r="A131" t="s">
        <v>5404</v>
      </c>
      <c r="B131" s="305" t="str">
        <f t="shared" si="2"/>
        <v>Starting month</v>
      </c>
      <c r="C131" t="s">
        <v>5405</v>
      </c>
      <c r="D131" s="55" t="s">
        <v>5406</v>
      </c>
      <c r="E131" s="55" t="s">
        <v>5407</v>
      </c>
      <c r="F131" s="55" t="s">
        <v>5408</v>
      </c>
      <c r="G131" s="55" t="s">
        <v>5409</v>
      </c>
    </row>
    <row r="132" spans="1:7" x14ac:dyDescent="0.25">
      <c r="A132" t="s">
        <v>5410</v>
      </c>
      <c r="B132" s="305" t="str">
        <f t="shared" ref="B132:B195" si="3">INDEX(C132:G132,MATCH(template_selected_display_language,$C$3:$G$3,0))</f>
        <v>Starting day</v>
      </c>
      <c r="C132" t="s">
        <v>5411</v>
      </c>
      <c r="D132" s="55" t="s">
        <v>5412</v>
      </c>
      <c r="E132" s="55" t="s">
        <v>5413</v>
      </c>
      <c r="F132" s="55" t="s">
        <v>5414</v>
      </c>
      <c r="G132" s="55" t="s">
        <v>5415</v>
      </c>
    </row>
    <row r="133" spans="1:7" x14ac:dyDescent="0.25">
      <c r="A133" t="s">
        <v>5416</v>
      </c>
      <c r="B133" s="305" t="str">
        <f t="shared" si="3"/>
        <v>Reporting period start date (yyyy-mm-dd)</v>
      </c>
      <c r="C133" t="s">
        <v>5417</v>
      </c>
      <c r="D133" s="55" t="s">
        <v>5418</v>
      </c>
      <c r="E133" s="55" t="s">
        <v>5419</v>
      </c>
      <c r="F133" s="55" t="s">
        <v>5420</v>
      </c>
      <c r="G133" s="55" t="s">
        <v>5421</v>
      </c>
    </row>
    <row r="134" spans="1:7" x14ac:dyDescent="0.25">
      <c r="A134" t="s">
        <v>5422</v>
      </c>
      <c r="B134" s="305" t="str">
        <f t="shared" si="3"/>
        <v>Ending year</v>
      </c>
      <c r="C134" t="s">
        <v>5423</v>
      </c>
      <c r="D134" s="55" t="s">
        <v>5424</v>
      </c>
      <c r="E134" s="55" t="s">
        <v>5425</v>
      </c>
      <c r="F134" s="55" t="s">
        <v>5426</v>
      </c>
      <c r="G134" s="55" t="s">
        <v>5427</v>
      </c>
    </row>
    <row r="135" spans="1:7" x14ac:dyDescent="0.25">
      <c r="A135" t="s">
        <v>5428</v>
      </c>
      <c r="B135" s="305" t="str">
        <f t="shared" si="3"/>
        <v>Ending month</v>
      </c>
      <c r="C135" t="s">
        <v>5429</v>
      </c>
      <c r="D135" s="55" t="s">
        <v>5430</v>
      </c>
      <c r="E135" s="55" t="s">
        <v>5431</v>
      </c>
      <c r="F135" s="55" t="s">
        <v>5432</v>
      </c>
      <c r="G135" s="55" t="s">
        <v>5433</v>
      </c>
    </row>
    <row r="136" spans="1:7" x14ac:dyDescent="0.25">
      <c r="A136" t="s">
        <v>5434</v>
      </c>
      <c r="B136" s="305" t="str">
        <f t="shared" si="3"/>
        <v>Ending day</v>
      </c>
      <c r="C136" t="s">
        <v>9</v>
      </c>
      <c r="D136" s="55" t="s">
        <v>5435</v>
      </c>
      <c r="E136" s="55" t="s">
        <v>5436</v>
      </c>
      <c r="F136" s="55" t="s">
        <v>5437</v>
      </c>
      <c r="G136" s="55" t="s">
        <v>5438</v>
      </c>
    </row>
    <row r="137" spans="1:7" s="9" customFormat="1" ht="15.75" thickBot="1" x14ac:dyDescent="0.3">
      <c r="A137" s="9" t="s">
        <v>5439</v>
      </c>
      <c r="B137" s="332" t="str">
        <f t="shared" si="3"/>
        <v>Reporting period end date  (yyyy-mm-dd)</v>
      </c>
      <c r="C137" s="9" t="s">
        <v>5440</v>
      </c>
      <c r="D137" s="306" t="s">
        <v>5441</v>
      </c>
      <c r="E137" s="306" t="s">
        <v>5442</v>
      </c>
      <c r="F137" s="306" t="s">
        <v>5443</v>
      </c>
      <c r="G137" s="306" t="s">
        <v>5444</v>
      </c>
    </row>
    <row r="138" spans="1:7" x14ac:dyDescent="0.25">
      <c r="A138" t="s">
        <v>5445</v>
      </c>
      <c r="B138" s="305" t="str">
        <f t="shared" si="3"/>
        <v>Information on previous reporting period</v>
      </c>
      <c r="C138" t="s">
        <v>5446</v>
      </c>
      <c r="D138" s="55" t="s">
        <v>5447</v>
      </c>
      <c r="E138" s="55" t="s">
        <v>5448</v>
      </c>
      <c r="F138" s="55" t="s">
        <v>5449</v>
      </c>
      <c r="G138" s="55" t="s">
        <v>4982</v>
      </c>
    </row>
    <row r="139" spans="1:7" x14ac:dyDescent="0.25">
      <c r="A139" t="s">
        <v>5450</v>
      </c>
      <c r="B139" s="305" t="str">
        <f t="shared" si="3"/>
        <v>This report contains disclosures from the previous reporting period that remain unchanged</v>
      </c>
      <c r="C139" t="s">
        <v>5451</v>
      </c>
      <c r="D139" s="55" t="s">
        <v>5452</v>
      </c>
      <c r="E139" s="55" t="s">
        <v>5453</v>
      </c>
      <c r="F139" s="55" t="s">
        <v>5454</v>
      </c>
      <c r="G139" s="55" t="s">
        <v>5455</v>
      </c>
    </row>
    <row r="140" spans="1:7" x14ac:dyDescent="0.25">
      <c r="A140" t="s">
        <v>5456</v>
      </c>
      <c r="B140" s="305" t="str">
        <f t="shared" si="3"/>
        <v>List of disclosures for which no changes are reported compared to the previous period reporting</v>
      </c>
      <c r="C140" t="s">
        <v>5457</v>
      </c>
      <c r="D140" s="55" t="s">
        <v>5458</v>
      </c>
      <c r="E140" s="55" t="s">
        <v>5459</v>
      </c>
      <c r="F140" s="55" t="s">
        <v>5460</v>
      </c>
      <c r="G140" s="55" t="s">
        <v>5461</v>
      </c>
    </row>
    <row r="141" spans="1:7" s="9" customFormat="1" ht="15.75" thickBot="1" x14ac:dyDescent="0.3">
      <c r="A141" s="9" t="s">
        <v>5462</v>
      </c>
      <c r="B141" s="332" t="str">
        <f t="shared" si="3"/>
        <v>Link to previous report containing disclosures that remain unchanged</v>
      </c>
      <c r="C141" s="9" t="s">
        <v>5463</v>
      </c>
      <c r="D141" s="306" t="s">
        <v>5464</v>
      </c>
      <c r="E141" s="306" t="s">
        <v>5465</v>
      </c>
      <c r="F141" s="306" t="s">
        <v>5466</v>
      </c>
      <c r="G141" s="306" t="s">
        <v>5467</v>
      </c>
    </row>
    <row r="142" spans="1:7" x14ac:dyDescent="0.25">
      <c r="A142" t="s">
        <v>5468</v>
      </c>
      <c r="B142" s="305" t="str">
        <f t="shared" si="3"/>
        <v>B1 - Basis for Preparation and other undertaking's general information</v>
      </c>
      <c r="C142" t="s">
        <v>5469</v>
      </c>
      <c r="D142" s="55" t="s">
        <v>5470</v>
      </c>
      <c r="E142" s="55" t="s">
        <v>5471</v>
      </c>
      <c r="F142" s="55" t="s">
        <v>5472</v>
      </c>
      <c r="G142" s="55" t="s">
        <v>5473</v>
      </c>
    </row>
    <row r="143" spans="1:7" x14ac:dyDescent="0.25">
      <c r="A143" t="s">
        <v>5474</v>
      </c>
      <c r="B143" s="305" t="str">
        <f t="shared" si="3"/>
        <v>Basis for preparation (Basic Module Only or Basic &amp; Comprehensive Module)</v>
      </c>
      <c r="C143" t="s">
        <v>5475</v>
      </c>
      <c r="D143" s="55" t="s">
        <v>5476</v>
      </c>
      <c r="E143" s="55" t="s">
        <v>5477</v>
      </c>
      <c r="F143" s="55" t="s">
        <v>5478</v>
      </c>
      <c r="G143" s="55" t="s">
        <v>5479</v>
      </c>
    </row>
    <row r="144" spans="1:7" x14ac:dyDescent="0.25">
      <c r="A144" t="s">
        <v>5480</v>
      </c>
      <c r="B144" s="305" t="str">
        <f t="shared" si="3"/>
        <v>List of omitted disclosures deemed to be classified or sensitive information</v>
      </c>
      <c r="C144" t="s">
        <v>5481</v>
      </c>
      <c r="D144" s="55" t="s">
        <v>5482</v>
      </c>
      <c r="E144" s="55" t="s">
        <v>5483</v>
      </c>
      <c r="F144" s="55" t="s">
        <v>5484</v>
      </c>
      <c r="G144" s="55" t="s">
        <v>5485</v>
      </c>
    </row>
    <row r="145" spans="1:7" x14ac:dyDescent="0.25">
      <c r="A145" t="s">
        <v>5486</v>
      </c>
      <c r="B145" s="305" t="str">
        <f t="shared" si="3"/>
        <v>Basis for reporting (consolidated or individual basis)</v>
      </c>
      <c r="C145" t="s">
        <v>5487</v>
      </c>
      <c r="D145" s="55" t="s">
        <v>5488</v>
      </c>
      <c r="E145" s="55" t="s">
        <v>5489</v>
      </c>
      <c r="F145" s="55" t="s">
        <v>5490</v>
      </c>
      <c r="G145" s="55" t="s">
        <v>5491</v>
      </c>
    </row>
    <row r="146" spans="1:7" x14ac:dyDescent="0.25">
      <c r="A146" t="s">
        <v>5492</v>
      </c>
      <c r="B146" s="305" t="str">
        <f t="shared" si="3"/>
        <v>Undertakings legal form</v>
      </c>
      <c r="C146" t="s">
        <v>5493</v>
      </c>
      <c r="D146" s="55" t="s">
        <v>5494</v>
      </c>
      <c r="E146" s="55" t="s">
        <v>5495</v>
      </c>
      <c r="F146" s="55" t="s">
        <v>5496</v>
      </c>
      <c r="G146" s="55" t="s">
        <v>5497</v>
      </c>
    </row>
    <row r="147" spans="1:7" x14ac:dyDescent="0.25">
      <c r="A147" t="s">
        <v>5498</v>
      </c>
      <c r="B147" s="305" t="str">
        <f t="shared" si="3"/>
        <v>Other undertaking's legal form specification</v>
      </c>
      <c r="C147" t="s">
        <v>5499</v>
      </c>
      <c r="D147" s="55" t="s">
        <v>5500</v>
      </c>
      <c r="E147" s="55" t="s">
        <v>5501</v>
      </c>
      <c r="F147" s="55" t="s">
        <v>5502</v>
      </c>
      <c r="G147" s="55" t="s">
        <v>5503</v>
      </c>
    </row>
    <row r="148" spans="1:7" x14ac:dyDescent="0.25">
      <c r="A148" t="s">
        <v>5504</v>
      </c>
      <c r="B148" s="305" t="str">
        <f t="shared" si="3"/>
        <v>NACE sector classification code(s)</v>
      </c>
      <c r="C148" t="s">
        <v>5505</v>
      </c>
      <c r="D148" s="55" t="s">
        <v>5506</v>
      </c>
      <c r="E148" s="55" t="s">
        <v>5507</v>
      </c>
      <c r="F148" s="55" t="s">
        <v>5508</v>
      </c>
      <c r="G148" s="55" t="s">
        <v>5509</v>
      </c>
    </row>
    <row r="149" spans="1:7" x14ac:dyDescent="0.25">
      <c r="A149" t="s">
        <v>5510</v>
      </c>
      <c r="B149" s="305" t="str">
        <f t="shared" si="3"/>
        <v>Size of balance sheet (total assets) in</v>
      </c>
      <c r="C149" t="s">
        <v>5511</v>
      </c>
      <c r="D149" s="55" t="s">
        <v>5512</v>
      </c>
      <c r="E149" s="55" t="s">
        <v>5513</v>
      </c>
      <c r="F149" s="55" t="s">
        <v>5514</v>
      </c>
      <c r="G149" s="55" t="s">
        <v>5515</v>
      </c>
    </row>
    <row r="150" spans="1:7" x14ac:dyDescent="0.25">
      <c r="A150" t="s">
        <v>5516</v>
      </c>
      <c r="B150" s="305" t="str">
        <f t="shared" si="3"/>
        <v>Turnover in</v>
      </c>
      <c r="C150" t="s">
        <v>5517</v>
      </c>
      <c r="D150" s="55" t="s">
        <v>5518</v>
      </c>
      <c r="E150" s="55" t="s">
        <v>5519</v>
      </c>
      <c r="F150" s="55" t="s">
        <v>5520</v>
      </c>
      <c r="G150" s="55" t="s">
        <v>5521</v>
      </c>
    </row>
    <row r="151" spans="1:7" x14ac:dyDescent="0.25">
      <c r="A151" t="s">
        <v>5522</v>
      </c>
      <c r="B151" s="305" t="str">
        <f t="shared" si="3"/>
        <v>Number of employees</v>
      </c>
      <c r="C151" t="s">
        <v>5523</v>
      </c>
      <c r="D151" s="55" t="s">
        <v>5524</v>
      </c>
      <c r="E151" s="55" t="s">
        <v>5525</v>
      </c>
      <c r="F151" s="55" t="s">
        <v>5526</v>
      </c>
      <c r="G151" s="55" t="s">
        <v>5527</v>
      </c>
    </row>
    <row r="152" spans="1:7" x14ac:dyDescent="0.25">
      <c r="A152" t="s">
        <v>5528</v>
      </c>
      <c r="B152" s="305" t="str">
        <f t="shared" si="3"/>
        <v>Employee counting methodology (At the end of reporting period or as an average during the reporting period)</v>
      </c>
      <c r="C152" t="s">
        <v>5529</v>
      </c>
      <c r="D152" s="55" t="s">
        <v>5530</v>
      </c>
      <c r="E152" s="55" t="s">
        <v>5531</v>
      </c>
      <c r="F152" s="55" t="s">
        <v>5532</v>
      </c>
      <c r="G152" s="55" t="s">
        <v>5533</v>
      </c>
    </row>
    <row r="153" spans="1:7" x14ac:dyDescent="0.25">
      <c r="A153" t="s">
        <v>5534</v>
      </c>
      <c r="B153" s="305" t="str">
        <f t="shared" si="3"/>
        <v>Employee counting methodology (Headcount or Full-time equivalent)</v>
      </c>
      <c r="C153" t="s">
        <v>5535</v>
      </c>
      <c r="D153" s="55" t="s">
        <v>5536</v>
      </c>
      <c r="E153" s="55" t="s">
        <v>5537</v>
      </c>
      <c r="F153" s="55" t="s">
        <v>5538</v>
      </c>
      <c r="G153" s="55" t="s">
        <v>5539</v>
      </c>
    </row>
    <row r="154" spans="1:7" s="9" customFormat="1" ht="15.75" thickBot="1" x14ac:dyDescent="0.3">
      <c r="A154" s="9" t="s">
        <v>5540</v>
      </c>
      <c r="B154" s="332" t="str">
        <f t="shared" si="3"/>
        <v>Country of primary operations and location of significant asset(s)</v>
      </c>
      <c r="C154" s="9" t="s">
        <v>5541</v>
      </c>
      <c r="D154" s="306" t="s">
        <v>5542</v>
      </c>
      <c r="E154" s="306" t="s">
        <v>5543</v>
      </c>
      <c r="F154" s="306" t="s">
        <v>5544</v>
      </c>
      <c r="G154" s="306" t="s">
        <v>5545</v>
      </c>
    </row>
    <row r="155" spans="1:7" x14ac:dyDescent="0.25">
      <c r="A155" t="s">
        <v>5546</v>
      </c>
      <c r="B155" s="305" t="str">
        <f t="shared" si="3"/>
        <v>B1 - List of subsidiaries</v>
      </c>
      <c r="C155" t="s">
        <v>5547</v>
      </c>
      <c r="D155" s="55" t="s">
        <v>5548</v>
      </c>
      <c r="E155" s="55" t="s">
        <v>5549</v>
      </c>
      <c r="F155" s="55" t="s">
        <v>5550</v>
      </c>
      <c r="G155" s="55" t="s">
        <v>5551</v>
      </c>
    </row>
    <row r="156" spans="1:7" x14ac:dyDescent="0.25">
      <c r="A156" t="s">
        <v>5552</v>
      </c>
      <c r="B156" s="305" t="str">
        <f t="shared" si="3"/>
        <v>ID</v>
      </c>
      <c r="C156" t="s">
        <v>5553</v>
      </c>
      <c r="D156" s="55" t="s">
        <v>5553</v>
      </c>
      <c r="E156" s="55" t="s">
        <v>5553</v>
      </c>
      <c r="F156" s="55" t="s">
        <v>5553</v>
      </c>
      <c r="G156" s="55" t="s">
        <v>5553</v>
      </c>
    </row>
    <row r="157" spans="1:7" x14ac:dyDescent="0.25">
      <c r="A157" t="s">
        <v>5554</v>
      </c>
      <c r="B157" s="305" t="str">
        <f t="shared" si="3"/>
        <v>Name</v>
      </c>
      <c r="C157" t="s">
        <v>5555</v>
      </c>
      <c r="D157" s="55" t="s">
        <v>5556</v>
      </c>
      <c r="E157" s="55" t="s">
        <v>5557</v>
      </c>
      <c r="F157" s="55" t="s">
        <v>5558</v>
      </c>
      <c r="G157" s="55" t="s">
        <v>5559</v>
      </c>
    </row>
    <row r="158" spans="1:7" s="9" customFormat="1" ht="15.75" thickBot="1" x14ac:dyDescent="0.3">
      <c r="A158" s="9" t="s">
        <v>5560</v>
      </c>
      <c r="B158" s="332" t="str">
        <f t="shared" si="3"/>
        <v>Registered Address</v>
      </c>
      <c r="C158" s="9" t="s">
        <v>5561</v>
      </c>
      <c r="D158" s="306" t="s">
        <v>5562</v>
      </c>
      <c r="E158" s="306" t="s">
        <v>5563</v>
      </c>
      <c r="F158" s="306" t="s">
        <v>5564</v>
      </c>
      <c r="G158" s="306" t="s">
        <v>5565</v>
      </c>
    </row>
    <row r="159" spans="1:7" x14ac:dyDescent="0.25">
      <c r="A159" t="s">
        <v>5566</v>
      </c>
      <c r="B159" s="305" t="str">
        <f t="shared" si="3"/>
        <v>B1 - Disclosure of sustainability-related certification(s) or label(s)</v>
      </c>
      <c r="C159" t="s">
        <v>5567</v>
      </c>
      <c r="D159" s="55" t="s">
        <v>5568</v>
      </c>
      <c r="E159" s="55" t="s">
        <v>5569</v>
      </c>
      <c r="F159" s="55" t="s">
        <v>5570</v>
      </c>
      <c r="G159" s="55" t="s">
        <v>5571</v>
      </c>
    </row>
    <row r="160" spans="1:7" x14ac:dyDescent="0.25">
      <c r="A160" t="s">
        <v>5572</v>
      </c>
      <c r="B160" s="305" t="str">
        <f t="shared" si="3"/>
        <v>Has the undertaking obtained any sustainability-related certification(s) or label(s) ?</v>
      </c>
      <c r="C160" t="s">
        <v>5573</v>
      </c>
      <c r="D160" s="55" t="s">
        <v>5574</v>
      </c>
      <c r="E160" s="55" t="s">
        <v>5575</v>
      </c>
      <c r="F160" s="55" t="s">
        <v>5576</v>
      </c>
      <c r="G160" s="55" t="s">
        <v>5577</v>
      </c>
    </row>
    <row r="161" spans="1:7" s="9" customFormat="1" ht="15.75" thickBot="1" x14ac:dyDescent="0.3">
      <c r="A161" s="9" t="s">
        <v>5578</v>
      </c>
      <c r="B161" s="332" t="str">
        <f t="shared" si="3"/>
        <v>Description of sustainability-related certification(s) or label(s) including where relevant the issuers of the certification or label date and rating score</v>
      </c>
      <c r="C161" s="9" t="s">
        <v>5579</v>
      </c>
      <c r="D161" s="306" t="s">
        <v>5580</v>
      </c>
      <c r="E161" s="306" t="s">
        <v>5581</v>
      </c>
      <c r="F161" s="306" t="s">
        <v>5582</v>
      </c>
      <c r="G161" s="306" t="s">
        <v>5583</v>
      </c>
    </row>
    <row r="162" spans="1:7" x14ac:dyDescent="0.25">
      <c r="A162" t="s">
        <v>5584</v>
      </c>
      <c r="B162" s="305" t="str">
        <f t="shared" si="3"/>
        <v>B1 - List of site(s)</v>
      </c>
      <c r="C162" t="s">
        <v>5585</v>
      </c>
      <c r="D162" s="55" t="s">
        <v>5586</v>
      </c>
      <c r="E162" s="55" t="s">
        <v>5587</v>
      </c>
      <c r="F162" s="55" t="s">
        <v>5588</v>
      </c>
      <c r="G162" s="55" t="s">
        <v>5589</v>
      </c>
    </row>
    <row r="163" spans="1:7" x14ac:dyDescent="0.25">
      <c r="A163" t="s">
        <v>5590</v>
      </c>
      <c r="B163" s="305" t="str">
        <f t="shared" si="3"/>
        <v>Address</v>
      </c>
      <c r="C163" t="s">
        <v>5591</v>
      </c>
      <c r="D163" s="55" t="s">
        <v>5592</v>
      </c>
      <c r="E163" s="55" t="s">
        <v>5593</v>
      </c>
      <c r="F163" s="55" t="s">
        <v>5594</v>
      </c>
      <c r="G163" s="55" t="s">
        <v>5595</v>
      </c>
    </row>
    <row r="164" spans="1:7" x14ac:dyDescent="0.25">
      <c r="A164" t="s">
        <v>5596</v>
      </c>
      <c r="B164" s="305" t="str">
        <f t="shared" si="3"/>
        <v>Postal code</v>
      </c>
      <c r="C164" t="s">
        <v>5597</v>
      </c>
      <c r="D164" s="55" t="s">
        <v>5598</v>
      </c>
      <c r="E164" s="55" t="s">
        <v>5599</v>
      </c>
      <c r="F164" s="55" t="s">
        <v>5600</v>
      </c>
      <c r="G164" s="55" t="s">
        <v>5600</v>
      </c>
    </row>
    <row r="165" spans="1:7" x14ac:dyDescent="0.25">
      <c r="A165" t="s">
        <v>5601</v>
      </c>
      <c r="B165" s="305" t="str">
        <f t="shared" si="3"/>
        <v>City</v>
      </c>
      <c r="C165" t="s">
        <v>5602</v>
      </c>
      <c r="D165" s="55" t="s">
        <v>5603</v>
      </c>
      <c r="E165" s="55" t="s">
        <v>5604</v>
      </c>
      <c r="F165" s="55" t="s">
        <v>5605</v>
      </c>
      <c r="G165" s="55" t="s">
        <v>5606</v>
      </c>
    </row>
    <row r="166" spans="1:7" x14ac:dyDescent="0.25">
      <c r="A166" t="s">
        <v>5607</v>
      </c>
      <c r="B166" s="305" t="str">
        <f t="shared" si="3"/>
        <v>Country</v>
      </c>
      <c r="C166" t="s">
        <v>5608</v>
      </c>
      <c r="D166" s="55" t="s">
        <v>5609</v>
      </c>
      <c r="E166" s="55" t="s">
        <v>5610</v>
      </c>
      <c r="F166" s="55" t="s">
        <v>5611</v>
      </c>
      <c r="G166" s="55" t="s">
        <v>5611</v>
      </c>
    </row>
    <row r="167" spans="1:7" x14ac:dyDescent="0.25">
      <c r="A167" t="s">
        <v>5612</v>
      </c>
      <c r="B167" s="305" t="str">
        <f t="shared" si="3"/>
        <v>GPS Coordinates (geolocation)</v>
      </c>
      <c r="C167" t="s">
        <v>5613</v>
      </c>
      <c r="D167" s="55" t="s">
        <v>5614</v>
      </c>
      <c r="E167" s="55" t="s">
        <v>5615</v>
      </c>
      <c r="F167" s="55" t="s">
        <v>5616</v>
      </c>
      <c r="G167" s="55" t="s">
        <v>5617</v>
      </c>
    </row>
    <row r="168" spans="1:7" s="9" customFormat="1" ht="14.1" customHeight="1" thickBot="1" x14ac:dyDescent="0.3">
      <c r="A168" s="9" t="s">
        <v>5618</v>
      </c>
      <c r="B168" s="332" t="str">
        <f t="shared" si="3"/>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C168" s="333" t="s">
        <v>5619</v>
      </c>
      <c r="D168" s="306" t="s">
        <v>5620</v>
      </c>
      <c r="E168" s="306" t="s">
        <v>5621</v>
      </c>
      <c r="F168" s="306" t="s">
        <v>5622</v>
      </c>
      <c r="G168" s="306" t="s">
        <v>5623</v>
      </c>
    </row>
    <row r="169" spans="1:7" x14ac:dyDescent="0.25">
      <c r="A169" t="s">
        <v>5624</v>
      </c>
      <c r="B169" s="305" t="str">
        <f t="shared" si="3"/>
        <v>B2 – Practices policies and future initiatives for transitioning towards a more sustainable economy</v>
      </c>
      <c r="C169" t="s">
        <v>5625</v>
      </c>
      <c r="D169" s="55" t="s">
        <v>5626</v>
      </c>
      <c r="E169" s="55" t="s">
        <v>5017</v>
      </c>
      <c r="F169" s="55" t="s">
        <v>5627</v>
      </c>
      <c r="G169" s="55" t="s">
        <v>5019</v>
      </c>
    </row>
    <row r="170" spans="1:7" x14ac:dyDescent="0.25">
      <c r="A170" t="s">
        <v>5628</v>
      </c>
      <c r="B170" s="305" t="str">
        <f t="shared" si="3"/>
        <v>Has the undertaking put in place specific practices policies and or future initiatives for transitioning towards a more sustainable economy?</v>
      </c>
      <c r="C170" t="s">
        <v>5629</v>
      </c>
      <c r="D170" s="55" t="s">
        <v>5630</v>
      </c>
      <c r="E170" s="55" t="s">
        <v>5631</v>
      </c>
      <c r="F170" s="55" t="s">
        <v>5632</v>
      </c>
      <c r="G170" s="55" t="s">
        <v>5633</v>
      </c>
    </row>
    <row r="171" spans="1:7" x14ac:dyDescent="0.25">
      <c r="A171" t="s">
        <v>5634</v>
      </c>
      <c r="B171" s="305" t="str">
        <f t="shared" si="3"/>
        <v>Sustainability issues addressed by a practice policy and or future initiatives that the undertaking has put in place</v>
      </c>
      <c r="C171" t="s">
        <v>5635</v>
      </c>
      <c r="D171" s="55" t="s">
        <v>5636</v>
      </c>
      <c r="E171" s="55" t="s">
        <v>5637</v>
      </c>
      <c r="F171" s="55" t="s">
        <v>5638</v>
      </c>
      <c r="G171" s="55" t="s">
        <v>5639</v>
      </c>
    </row>
    <row r="172" spans="1:7" x14ac:dyDescent="0.25">
      <c r="A172" t="s">
        <v>5640</v>
      </c>
      <c r="B172" s="305" t="str">
        <f t="shared" si="3"/>
        <v>Undertaking has a practice policy and or future initiative that is publicly available</v>
      </c>
      <c r="C172" t="s">
        <v>5641</v>
      </c>
      <c r="D172" s="55" t="s">
        <v>5642</v>
      </c>
      <c r="E172" s="55" t="s">
        <v>5643</v>
      </c>
      <c r="F172" s="55" t="s">
        <v>5644</v>
      </c>
      <c r="G172" s="55" t="s">
        <v>5645</v>
      </c>
    </row>
    <row r="173" spans="1:7" x14ac:dyDescent="0.25">
      <c r="A173" t="s">
        <v>5646</v>
      </c>
      <c r="B173" s="305" t="str">
        <f t="shared" si="3"/>
        <v>Undertaking has set a target which is related to a policy</v>
      </c>
      <c r="C173" t="s">
        <v>5647</v>
      </c>
      <c r="D173" s="55" t="s">
        <v>5648</v>
      </c>
      <c r="E173" s="55" t="s">
        <v>5649</v>
      </c>
      <c r="F173" s="55" t="s">
        <v>5650</v>
      </c>
      <c r="G173" s="55" t="s">
        <v>5651</v>
      </c>
    </row>
    <row r="174" spans="1:7" x14ac:dyDescent="0.25">
      <c r="A174" t="s">
        <v>5652</v>
      </c>
      <c r="B174" s="305" t="str">
        <f t="shared" si="3"/>
        <v>Climate change</v>
      </c>
      <c r="C174" t="s">
        <v>252</v>
      </c>
      <c r="D174" s="55" t="s">
        <v>5653</v>
      </c>
      <c r="E174" s="55" t="s">
        <v>5654</v>
      </c>
      <c r="F174" s="55" t="s">
        <v>5655</v>
      </c>
      <c r="G174" s="55" t="s">
        <v>5656</v>
      </c>
    </row>
    <row r="175" spans="1:7" x14ac:dyDescent="0.25">
      <c r="A175" t="s">
        <v>5657</v>
      </c>
      <c r="B175" s="305" t="str">
        <f t="shared" si="3"/>
        <v>Pollution</v>
      </c>
      <c r="C175" t="s">
        <v>271</v>
      </c>
      <c r="D175" s="55" t="s">
        <v>5658</v>
      </c>
      <c r="E175" s="55" t="s">
        <v>5659</v>
      </c>
      <c r="F175" s="55" t="s">
        <v>5660</v>
      </c>
      <c r="G175" s="55" t="s">
        <v>5661</v>
      </c>
    </row>
    <row r="176" spans="1:7" x14ac:dyDescent="0.25">
      <c r="A176" t="s">
        <v>5662</v>
      </c>
      <c r="B176" s="305" t="str">
        <f t="shared" si="3"/>
        <v>Water and marine resources</v>
      </c>
      <c r="C176" t="s">
        <v>290</v>
      </c>
      <c r="D176" s="55" t="s">
        <v>5663</v>
      </c>
      <c r="E176" s="55" t="s">
        <v>5664</v>
      </c>
      <c r="F176" s="55" t="s">
        <v>5665</v>
      </c>
      <c r="G176" s="55" t="s">
        <v>5666</v>
      </c>
    </row>
    <row r="177" spans="1:7" x14ac:dyDescent="0.25">
      <c r="A177" t="s">
        <v>5667</v>
      </c>
      <c r="B177" s="305" t="str">
        <f t="shared" si="3"/>
        <v>Biodiversity and ecosystems</v>
      </c>
      <c r="C177" t="s">
        <v>304</v>
      </c>
      <c r="D177" s="55" t="s">
        <v>5668</v>
      </c>
      <c r="E177" s="55" t="s">
        <v>5669</v>
      </c>
      <c r="F177" s="55" t="s">
        <v>5670</v>
      </c>
      <c r="G177" s="55" t="s">
        <v>5671</v>
      </c>
    </row>
    <row r="178" spans="1:7" x14ac:dyDescent="0.25">
      <c r="A178" t="s">
        <v>5672</v>
      </c>
      <c r="B178" s="305" t="str">
        <f t="shared" si="3"/>
        <v>Circular economy</v>
      </c>
      <c r="C178" t="s">
        <v>318</v>
      </c>
      <c r="D178" s="55" t="s">
        <v>5673</v>
      </c>
      <c r="E178" s="55" t="s">
        <v>5674</v>
      </c>
      <c r="F178" s="55" t="s">
        <v>5675</v>
      </c>
      <c r="G178" s="55" t="s">
        <v>5676</v>
      </c>
    </row>
    <row r="179" spans="1:7" x14ac:dyDescent="0.25">
      <c r="A179" t="s">
        <v>5677</v>
      </c>
      <c r="B179" s="305" t="str">
        <f t="shared" si="3"/>
        <v>Own workforce</v>
      </c>
      <c r="C179" t="s">
        <v>330</v>
      </c>
      <c r="D179" s="55" t="s">
        <v>5678</v>
      </c>
      <c r="E179" s="55" t="s">
        <v>5679</v>
      </c>
      <c r="F179" s="55" t="s">
        <v>5680</v>
      </c>
      <c r="G179" s="55" t="s">
        <v>5681</v>
      </c>
    </row>
    <row r="180" spans="1:7" x14ac:dyDescent="0.25">
      <c r="A180" t="s">
        <v>5682</v>
      </c>
      <c r="B180" s="305" t="str">
        <f t="shared" si="3"/>
        <v>Workers in the value chain</v>
      </c>
      <c r="C180" t="s">
        <v>342</v>
      </c>
      <c r="D180" s="55" t="s">
        <v>5683</v>
      </c>
      <c r="E180" s="55" t="s">
        <v>5684</v>
      </c>
      <c r="F180" s="55" t="s">
        <v>5685</v>
      </c>
      <c r="G180" s="55" t="s">
        <v>5686</v>
      </c>
    </row>
    <row r="181" spans="1:7" x14ac:dyDescent="0.25">
      <c r="A181" t="s">
        <v>5687</v>
      </c>
      <c r="B181" s="305" t="str">
        <f t="shared" si="3"/>
        <v>Affected communities</v>
      </c>
      <c r="C181" t="s">
        <v>354</v>
      </c>
      <c r="D181" s="55" t="s">
        <v>5688</v>
      </c>
      <c r="E181" s="55" t="s">
        <v>5689</v>
      </c>
      <c r="F181" s="55" t="s">
        <v>5690</v>
      </c>
      <c r="G181" s="55" t="s">
        <v>5691</v>
      </c>
    </row>
    <row r="182" spans="1:7" x14ac:dyDescent="0.25">
      <c r="A182" t="s">
        <v>5692</v>
      </c>
      <c r="B182" s="305" t="str">
        <f t="shared" si="3"/>
        <v>Consumers and end-users</v>
      </c>
      <c r="C182" t="s">
        <v>366</v>
      </c>
      <c r="D182" s="55" t="s">
        <v>5693</v>
      </c>
      <c r="E182" s="55" t="s">
        <v>5694</v>
      </c>
      <c r="F182" s="55" t="s">
        <v>5695</v>
      </c>
      <c r="G182" s="55" t="s">
        <v>5696</v>
      </c>
    </row>
    <row r="183" spans="1:7" s="9" customFormat="1" ht="15.75" thickBot="1" x14ac:dyDescent="0.3">
      <c r="A183" s="9" t="s">
        <v>5697</v>
      </c>
      <c r="B183" s="332" t="str">
        <f t="shared" si="3"/>
        <v>Business conduct</v>
      </c>
      <c r="C183" s="9" t="s">
        <v>378</v>
      </c>
      <c r="D183" s="306" t="s">
        <v>5698</v>
      </c>
      <c r="E183" s="306" t="s">
        <v>5699</v>
      </c>
      <c r="F183" s="306" t="s">
        <v>5700</v>
      </c>
      <c r="G183" s="306" t="s">
        <v>5701</v>
      </c>
    </row>
    <row r="184" spans="1:7" x14ac:dyDescent="0.25">
      <c r="A184" t="s">
        <v>5702</v>
      </c>
      <c r="B184" s="305" t="str">
        <f t="shared" si="3"/>
        <v>B2 - Cooperative specific disclosures</v>
      </c>
      <c r="C184" t="s">
        <v>5703</v>
      </c>
      <c r="D184" s="55" t="s">
        <v>5704</v>
      </c>
      <c r="E184" s="55" t="s">
        <v>5705</v>
      </c>
      <c r="F184" s="55" t="s">
        <v>5706</v>
      </c>
      <c r="G184" s="55" t="s">
        <v>5707</v>
      </c>
    </row>
    <row r="185" spans="1:7" x14ac:dyDescent="0.25">
      <c r="A185" t="s">
        <v>5708</v>
      </c>
      <c r="B185" s="305" t="str">
        <f t="shared" si="3"/>
        <v>Effective participation of workers users or other interested parties or communities in governance</v>
      </c>
      <c r="C185" t="s">
        <v>5709</v>
      </c>
      <c r="D185" s="55" t="s">
        <v>5710</v>
      </c>
      <c r="E185" s="55" t="s">
        <v>5711</v>
      </c>
      <c r="F185" s="55" t="s">
        <v>5712</v>
      </c>
      <c r="G185" s="55" t="s">
        <v>5713</v>
      </c>
    </row>
    <row r="186" spans="1:7" x14ac:dyDescent="0.25">
      <c r="A186" t="s">
        <v>5714</v>
      </c>
      <c r="B186" s="305" t="str">
        <f t="shared" si="3"/>
        <v>Financial investment in the capital or assets of social economy entities referred to in the Council Recommendation of 29 September 2023 (excluding donations and contributions)</v>
      </c>
      <c r="C186" t="s">
        <v>5715</v>
      </c>
      <c r="D186" s="55" t="s">
        <v>5716</v>
      </c>
      <c r="E186" s="55" t="s">
        <v>5717</v>
      </c>
      <c r="F186" s="55" t="s">
        <v>5718</v>
      </c>
      <c r="G186" s="55" t="s">
        <v>5719</v>
      </c>
    </row>
    <row r="187" spans="1:7" s="9" customFormat="1" ht="15.75" thickBot="1" x14ac:dyDescent="0.3">
      <c r="A187" s="9" t="s">
        <v>5720</v>
      </c>
      <c r="B187" s="332" t="str">
        <f t="shared" si="3"/>
        <v>Any limits to the distribution of profits connected to the mutualistic nature or to the nature of the activities consisting in services of general economic interest (SGEI)</v>
      </c>
      <c r="C187" s="9" t="s">
        <v>5721</v>
      </c>
      <c r="D187" s="306" t="s">
        <v>5722</v>
      </c>
      <c r="E187" s="306" t="s">
        <v>5723</v>
      </c>
      <c r="F187" s="306" t="s">
        <v>5724</v>
      </c>
      <c r="G187" s="306" t="s">
        <v>5725</v>
      </c>
    </row>
    <row r="188" spans="1:7" x14ac:dyDescent="0.25">
      <c r="A188" t="s">
        <v>5726</v>
      </c>
      <c r="B188" s="305" t="str">
        <f t="shared" si="3"/>
        <v>C2 – Description of practices policies and future initiatives for transitioning towards a more sustainable economy</v>
      </c>
      <c r="C188" t="s">
        <v>5727</v>
      </c>
      <c r="D188" s="55" t="s">
        <v>5728</v>
      </c>
      <c r="E188" s="55" t="s">
        <v>5202</v>
      </c>
      <c r="F188" s="55" t="s">
        <v>5729</v>
      </c>
      <c r="G188" s="55" t="s">
        <v>5730</v>
      </c>
    </row>
    <row r="189" spans="1:7" x14ac:dyDescent="0.25">
      <c r="A189" t="s">
        <v>5731</v>
      </c>
      <c r="B189" s="305" t="str">
        <f t="shared" si="3"/>
        <v>Description of a practice policy and or future initiative towards a more sustainable future (In case the practice  policy  future initiative covers suppliers or clients the undertaking shall mention it)</v>
      </c>
      <c r="C189" t="s">
        <v>5732</v>
      </c>
      <c r="D189" s="55" t="s">
        <v>5733</v>
      </c>
      <c r="E189" s="55" t="s">
        <v>5734</v>
      </c>
      <c r="F189" s="55" t="s">
        <v>5735</v>
      </c>
      <c r="G189" s="55" t="s">
        <v>5736</v>
      </c>
    </row>
    <row r="190" spans="1:7" x14ac:dyDescent="0.25">
      <c r="A190" t="s">
        <v>5737</v>
      </c>
      <c r="B190" s="305" t="str">
        <f t="shared" si="3"/>
        <v>Description of target related to a policy</v>
      </c>
      <c r="C190" t="s">
        <v>5738</v>
      </c>
      <c r="D190" s="55" t="s">
        <v>5739</v>
      </c>
      <c r="E190" s="55" t="s">
        <v>5740</v>
      </c>
      <c r="F190" s="55" t="s">
        <v>5741</v>
      </c>
      <c r="G190" s="55" t="s">
        <v>5742</v>
      </c>
    </row>
    <row r="191" spans="1:7" s="9" customFormat="1" ht="15.75" thickBot="1" x14ac:dyDescent="0.3">
      <c r="A191" s="9" t="s">
        <v>5743</v>
      </c>
      <c r="B191" s="332" t="str">
        <f t="shared" si="3"/>
        <v>Most senior level within its employees that is accountable for implementing the policies when this has been determined by the undertaking</v>
      </c>
      <c r="C191" s="9" t="s">
        <v>5744</v>
      </c>
      <c r="D191" s="306" t="s">
        <v>5745</v>
      </c>
      <c r="E191" s="306" t="s">
        <v>5746</v>
      </c>
      <c r="F191" s="306" t="s">
        <v>5747</v>
      </c>
      <c r="G191" s="306" t="s">
        <v>5748</v>
      </c>
    </row>
    <row r="192" spans="1:7" x14ac:dyDescent="0.25">
      <c r="A192" t="s">
        <v>5749</v>
      </c>
      <c r="B192" s="305" t="str">
        <f t="shared" si="3"/>
        <v>C1 – Strategy: Business Model and Sustainability – Related Initiatives</v>
      </c>
      <c r="C192" t="s">
        <v>401</v>
      </c>
      <c r="D192" s="55" t="s">
        <v>5750</v>
      </c>
      <c r="E192" s="55" t="s">
        <v>5751</v>
      </c>
      <c r="F192" s="55" t="s">
        <v>5752</v>
      </c>
      <c r="G192" s="55" t="s">
        <v>5753</v>
      </c>
    </row>
    <row r="193" spans="1:7" x14ac:dyDescent="0.25">
      <c r="A193" t="s">
        <v>5754</v>
      </c>
      <c r="B193" s="305" t="str">
        <f t="shared" si="3"/>
        <v>Description of significant groups of products and or services offered</v>
      </c>
      <c r="C193" t="s">
        <v>5755</v>
      </c>
      <c r="D193" s="55" t="s">
        <v>5756</v>
      </c>
      <c r="E193" s="55" t="s">
        <v>5757</v>
      </c>
      <c r="F193" s="55" t="s">
        <v>5758</v>
      </c>
      <c r="G193" s="55" t="s">
        <v>5759</v>
      </c>
    </row>
    <row r="194" spans="1:7" x14ac:dyDescent="0.25">
      <c r="A194" t="s">
        <v>5760</v>
      </c>
      <c r="B194" s="305" t="str">
        <f t="shared" si="3"/>
        <v>Description of significant market(s) the undertaking operates in (e.g. B2B, wholesale, retail, countries)</v>
      </c>
      <c r="C194" t="s">
        <v>5761</v>
      </c>
      <c r="D194" s="55" t="s">
        <v>5762</v>
      </c>
      <c r="E194" s="55" t="s">
        <v>5763</v>
      </c>
      <c r="F194" s="55" t="s">
        <v>5764</v>
      </c>
      <c r="G194" s="55" t="s">
        <v>5765</v>
      </c>
    </row>
    <row r="195" spans="1:7" s="9" customFormat="1" ht="15.75" thickBot="1" x14ac:dyDescent="0.3">
      <c r="A195" s="9" t="s">
        <v>5766</v>
      </c>
      <c r="B195" s="332" t="str">
        <f t="shared" si="3"/>
        <v>Description of main business relationships (such as key suppliers, customers, distribution channels)</v>
      </c>
      <c r="C195" s="9" t="s">
        <v>5767</v>
      </c>
      <c r="D195" s="306" t="s">
        <v>5768</v>
      </c>
      <c r="E195" s="306" t="s">
        <v>5769</v>
      </c>
      <c r="F195" s="306" t="s">
        <v>5770</v>
      </c>
      <c r="G195" s="306" t="s">
        <v>5771</v>
      </c>
    </row>
    <row r="196" spans="1:7" x14ac:dyDescent="0.25">
      <c r="A196" t="s">
        <v>5772</v>
      </c>
      <c r="B196" s="305" t="str">
        <f t="shared" ref="B196:B259" si="4">INDEX(C196:G196,MATCH(template_selected_display_language,$C$3:$G$3,0))</f>
        <v>Has the strategy key elements that relate to or affect sustainability issues?</v>
      </c>
      <c r="C196" t="s">
        <v>5773</v>
      </c>
      <c r="D196" s="55" t="s">
        <v>5774</v>
      </c>
      <c r="E196" s="55" t="s">
        <v>5775</v>
      </c>
      <c r="F196" s="55" t="s">
        <v>5776</v>
      </c>
      <c r="G196" s="55" t="s">
        <v>5777</v>
      </c>
    </row>
    <row r="197" spans="1:7" x14ac:dyDescent="0.25">
      <c r="A197" t="s">
        <v>5778</v>
      </c>
      <c r="B197" s="305" t="str">
        <f t="shared" si="4"/>
        <v>Description of those key elements in the strategy that relate or affect sustainability issues</v>
      </c>
      <c r="C197" t="s">
        <v>5779</v>
      </c>
      <c r="D197" s="55" t="s">
        <v>5780</v>
      </c>
      <c r="E197" s="55" t="s">
        <v>5781</v>
      </c>
      <c r="F197" s="55" t="s">
        <v>5782</v>
      </c>
      <c r="G197" s="55" t="s">
        <v>5783</v>
      </c>
    </row>
    <row r="198" spans="1:7" s="9" customFormat="1" ht="15.75" thickBot="1" x14ac:dyDescent="0.3">
      <c r="A198" s="9" t="s">
        <v>5784</v>
      </c>
      <c r="B198" s="332" t="str">
        <f t="shared" si="4"/>
        <v>Disclosure of any other general and or entity specific information on the reporting period</v>
      </c>
      <c r="C198" s="9" t="s">
        <v>5785</v>
      </c>
      <c r="D198" s="306" t="s">
        <v>5786</v>
      </c>
      <c r="E198" s="306" t="s">
        <v>5286</v>
      </c>
      <c r="F198" s="306" t="s">
        <v>5787</v>
      </c>
      <c r="G198" s="306" t="s">
        <v>5788</v>
      </c>
    </row>
    <row r="199" spans="1:7" x14ac:dyDescent="0.25">
      <c r="A199" t="s">
        <v>5789</v>
      </c>
      <c r="B199" s="305" t="str">
        <f t="shared" si="4"/>
        <v>B3 - Total Energy Consumption (in MWh)</v>
      </c>
      <c r="C199" t="s">
        <v>5790</v>
      </c>
      <c r="D199" s="55" t="s">
        <v>5791</v>
      </c>
      <c r="E199" s="55" t="s">
        <v>5792</v>
      </c>
      <c r="F199" s="55" t="s">
        <v>5793</v>
      </c>
      <c r="G199" s="55" t="s">
        <v>5794</v>
      </c>
    </row>
    <row r="200" spans="1:7" s="9" customFormat="1" ht="15.75" thickBot="1" x14ac:dyDescent="0.3">
      <c r="A200" s="9" t="s">
        <v>5795</v>
      </c>
      <c r="B200" s="332" t="str">
        <f t="shared" si="4"/>
        <v>Total Energy Consumption</v>
      </c>
      <c r="C200" s="9" t="s">
        <v>5796</v>
      </c>
      <c r="D200" s="306" t="s">
        <v>5797</v>
      </c>
      <c r="E200" s="306" t="s">
        <v>5798</v>
      </c>
      <c r="F200" s="306" t="s">
        <v>5799</v>
      </c>
      <c r="G200" s="306" t="s">
        <v>5800</v>
      </c>
    </row>
    <row r="201" spans="1:7" x14ac:dyDescent="0.25">
      <c r="A201" t="s">
        <v>5801</v>
      </c>
      <c r="B201" s="305" t="str">
        <f t="shared" si="4"/>
        <v>B3 - Breakdown of energy consumption (in MWh)</v>
      </c>
      <c r="C201" t="s">
        <v>5802</v>
      </c>
      <c r="D201" s="55" t="s">
        <v>5803</v>
      </c>
      <c r="E201" s="55" t="s">
        <v>5804</v>
      </c>
      <c r="F201" s="55" t="s">
        <v>5805</v>
      </c>
      <c r="G201" s="55" t="s">
        <v>5806</v>
      </c>
    </row>
    <row r="202" spans="1:7" x14ac:dyDescent="0.25">
      <c r="A202" t="s">
        <v>5807</v>
      </c>
      <c r="B202" s="305" t="str">
        <f t="shared" si="4"/>
        <v>Has the undertaking obtained the necessary information to provide an energy consumption breakdown?</v>
      </c>
      <c r="C202" t="s">
        <v>5808</v>
      </c>
      <c r="D202" s="55" t="s">
        <v>5809</v>
      </c>
      <c r="E202" s="55" t="s">
        <v>5810</v>
      </c>
      <c r="F202" s="55" t="s">
        <v>5811</v>
      </c>
      <c r="G202" s="55" t="s">
        <v>5812</v>
      </c>
    </row>
    <row r="203" spans="1:7" x14ac:dyDescent="0.25">
      <c r="A203" t="s">
        <v>5813</v>
      </c>
      <c r="B203" s="305" t="str">
        <f t="shared" si="4"/>
        <v>Renewable</v>
      </c>
      <c r="C203" t="s">
        <v>197</v>
      </c>
      <c r="D203" s="55" t="s">
        <v>5814</v>
      </c>
      <c r="E203" s="55" t="s">
        <v>5815</v>
      </c>
      <c r="F203" s="55" t="s">
        <v>5816</v>
      </c>
      <c r="G203" s="55" t="s">
        <v>5817</v>
      </c>
    </row>
    <row r="204" spans="1:7" x14ac:dyDescent="0.25">
      <c r="A204" t="s">
        <v>5818</v>
      </c>
      <c r="B204" s="305" t="str">
        <f t="shared" si="4"/>
        <v>Non-renewable</v>
      </c>
      <c r="C204" t="s">
        <v>196</v>
      </c>
      <c r="D204" s="55" t="s">
        <v>5819</v>
      </c>
      <c r="E204" s="55" t="s">
        <v>5820</v>
      </c>
      <c r="F204" s="55" t="s">
        <v>5821</v>
      </c>
      <c r="G204" s="55" t="s">
        <v>5822</v>
      </c>
    </row>
    <row r="205" spans="1:7" x14ac:dyDescent="0.25">
      <c r="A205" t="s">
        <v>5823</v>
      </c>
      <c r="B205" s="305" t="str">
        <f t="shared" si="4"/>
        <v>Total renewable and non-renewable</v>
      </c>
      <c r="C205" t="s">
        <v>5824</v>
      </c>
      <c r="D205" s="55" t="s">
        <v>5825</v>
      </c>
      <c r="E205" s="55" t="s">
        <v>5826</v>
      </c>
      <c r="F205" s="55" t="s">
        <v>5827</v>
      </c>
      <c r="G205" s="55" t="s">
        <v>5828</v>
      </c>
    </row>
    <row r="206" spans="1:7" x14ac:dyDescent="0.25">
      <c r="A206" t="s">
        <v>5829</v>
      </c>
      <c r="B206" s="305" t="str">
        <f t="shared" si="4"/>
        <v>Electricity (as reflected in utility billings)</v>
      </c>
      <c r="C206" t="s">
        <v>5830</v>
      </c>
      <c r="D206" s="55" t="s">
        <v>5831</v>
      </c>
      <c r="E206" s="55" t="s">
        <v>5832</v>
      </c>
      <c r="F206" s="55" t="s">
        <v>5833</v>
      </c>
      <c r="G206" s="55" t="s">
        <v>5834</v>
      </c>
    </row>
    <row r="207" spans="1:7" x14ac:dyDescent="0.25">
      <c r="A207" t="s">
        <v>5835</v>
      </c>
      <c r="B207" s="305" t="str">
        <f t="shared" si="4"/>
        <v>Self-generated electricity</v>
      </c>
      <c r="C207" t="s">
        <v>5836</v>
      </c>
      <c r="D207" s="55" t="s">
        <v>5837</v>
      </c>
      <c r="E207" s="55" t="s">
        <v>5838</v>
      </c>
      <c r="F207" s="55" t="s">
        <v>5839</v>
      </c>
      <c r="G207" s="55" t="s">
        <v>5840</v>
      </c>
    </row>
    <row r="208" spans="1:7" s="9" customFormat="1" ht="15.75" thickBot="1" x14ac:dyDescent="0.3">
      <c r="A208" s="9" t="s">
        <v>5841</v>
      </c>
      <c r="B208" s="332" t="str">
        <f t="shared" si="4"/>
        <v>Fuels (see Fuel Converter on Fuels worksheet)</v>
      </c>
      <c r="C208" s="9" t="s">
        <v>5842</v>
      </c>
      <c r="D208" s="306" t="s">
        <v>5843</v>
      </c>
      <c r="E208" s="306" t="s">
        <v>5844</v>
      </c>
      <c r="F208" s="306" t="s">
        <v>5845</v>
      </c>
      <c r="G208" s="306" t="s">
        <v>5846</v>
      </c>
    </row>
    <row r="209" spans="1:7" x14ac:dyDescent="0.25">
      <c r="A209" t="s">
        <v>5847</v>
      </c>
      <c r="B209" s="305" t="str">
        <f t="shared" si="4"/>
        <v>B3 - Estimated Greenhouse Gas Emissions considering the GHG Protocol Version 2004 (in tCO2e)</v>
      </c>
      <c r="C209" t="s">
        <v>5848</v>
      </c>
      <c r="D209" s="55" t="s">
        <v>5849</v>
      </c>
      <c r="E209" s="55" t="s">
        <v>5850</v>
      </c>
      <c r="F209" s="55" t="s">
        <v>5851</v>
      </c>
      <c r="G209" s="55" t="s">
        <v>5852</v>
      </c>
    </row>
    <row r="210" spans="1:7" x14ac:dyDescent="0.25">
      <c r="A210" t="s">
        <v>5853</v>
      </c>
      <c r="B210" s="305" t="str">
        <f t="shared" si="4"/>
        <v>C3 - GHG reduction targets (in tC02e)</v>
      </c>
      <c r="C210" t="s">
        <v>5854</v>
      </c>
      <c r="D210" s="55" t="s">
        <v>5855</v>
      </c>
      <c r="E210" s="55" t="s">
        <v>5856</v>
      </c>
      <c r="F210" s="55" t="s">
        <v>5857</v>
      </c>
      <c r="G210" s="55" t="s">
        <v>5858</v>
      </c>
    </row>
    <row r="211" spans="1:7" x14ac:dyDescent="0.25">
      <c r="A211" t="s">
        <v>5859</v>
      </c>
      <c r="B211" s="305" t="str">
        <f t="shared" si="4"/>
        <v>Has  the undertaking has established GHG emission reduction targets?</v>
      </c>
      <c r="C211" t="s">
        <v>5860</v>
      </c>
      <c r="D211" s="55" t="s">
        <v>5861</v>
      </c>
      <c r="E211" s="55" t="s">
        <v>5862</v>
      </c>
      <c r="F211" s="55" t="s">
        <v>5863</v>
      </c>
      <c r="G211" s="55" t="s">
        <v>5864</v>
      </c>
    </row>
    <row r="212" spans="1:7" x14ac:dyDescent="0.25">
      <c r="A212" t="s">
        <v>5865</v>
      </c>
      <c r="B212" s="305" t="str">
        <f t="shared" si="4"/>
        <v>Current Reporting Period</v>
      </c>
      <c r="C212" t="s">
        <v>5866</v>
      </c>
      <c r="D212" s="55" t="s">
        <v>5867</v>
      </c>
      <c r="E212" s="55" t="s">
        <v>5868</v>
      </c>
      <c r="F212" s="55" t="s">
        <v>5869</v>
      </c>
      <c r="G212" s="55" t="s">
        <v>5870</v>
      </c>
    </row>
    <row r="213" spans="1:7" x14ac:dyDescent="0.25">
      <c r="A213" t="s">
        <v>5871</v>
      </c>
      <c r="B213" s="305" t="str">
        <f t="shared" si="4"/>
        <v>Base Year</v>
      </c>
      <c r="C213" t="s">
        <v>5872</v>
      </c>
      <c r="D213" s="55" t="s">
        <v>5873</v>
      </c>
      <c r="E213" s="55" t="s">
        <v>5874</v>
      </c>
      <c r="F213" s="55" t="s">
        <v>5875</v>
      </c>
      <c r="G213" s="55" t="s">
        <v>5876</v>
      </c>
    </row>
    <row r="214" spans="1:7" x14ac:dyDescent="0.25">
      <c r="A214" t="s">
        <v>5877</v>
      </c>
      <c r="B214" s="305" t="str">
        <f t="shared" si="4"/>
        <v>Target Year</v>
      </c>
      <c r="C214" t="s">
        <v>5878</v>
      </c>
      <c r="D214" s="55" t="s">
        <v>5879</v>
      </c>
      <c r="E214" s="55" t="s">
        <v>5880</v>
      </c>
      <c r="F214" s="55" t="s">
        <v>5881</v>
      </c>
      <c r="G214" s="55" t="s">
        <v>5882</v>
      </c>
    </row>
    <row r="215" spans="1:7" x14ac:dyDescent="0.25">
      <c r="A215" t="s">
        <v>5883</v>
      </c>
      <c r="B215" s="305" t="str">
        <f t="shared" si="4"/>
        <v>Percentage reduction from base year</v>
      </c>
      <c r="C215" t="s">
        <v>5884</v>
      </c>
      <c r="D215" s="55" t="s">
        <v>5885</v>
      </c>
      <c r="E215" s="55" t="s">
        <v>5886</v>
      </c>
      <c r="F215" s="55" t="s">
        <v>5887</v>
      </c>
      <c r="G215" s="55" t="s">
        <v>5888</v>
      </c>
    </row>
    <row r="216" spans="1:7" x14ac:dyDescent="0.25">
      <c r="A216" t="s">
        <v>5889</v>
      </c>
      <c r="B216" s="305" t="str">
        <f t="shared" si="4"/>
        <v>Year (date)</v>
      </c>
      <c r="C216" t="s">
        <v>5890</v>
      </c>
      <c r="D216" s="55" t="s">
        <v>5891</v>
      </c>
      <c r="E216" s="55" t="s">
        <v>5892</v>
      </c>
      <c r="F216" s="55" t="s">
        <v>5893</v>
      </c>
      <c r="G216" s="55" t="s">
        <v>5894</v>
      </c>
    </row>
    <row r="217" spans="1:7" x14ac:dyDescent="0.25">
      <c r="A217" t="s">
        <v>5895</v>
      </c>
      <c r="B217" s="305" t="str">
        <f t="shared" si="4"/>
        <v>Gross Scope 1 GHG Emissions</v>
      </c>
      <c r="C217" t="s">
        <v>5896</v>
      </c>
      <c r="D217" s="55" t="s">
        <v>5897</v>
      </c>
      <c r="E217" s="55" t="s">
        <v>5898</v>
      </c>
      <c r="F217" s="55" t="s">
        <v>5899</v>
      </c>
      <c r="G217" s="55" t="s">
        <v>5900</v>
      </c>
    </row>
    <row r="218" spans="1:7" x14ac:dyDescent="0.25">
      <c r="A218" t="s">
        <v>5901</v>
      </c>
      <c r="B218" s="305" t="str">
        <f t="shared" si="4"/>
        <v>Gross Scope 2 location-based GHG Emissions</v>
      </c>
      <c r="C218" t="s">
        <v>5902</v>
      </c>
      <c r="D218" s="55" t="s">
        <v>5903</v>
      </c>
      <c r="E218" s="55" t="s">
        <v>5904</v>
      </c>
      <c r="F218" s="55" t="s">
        <v>5905</v>
      </c>
      <c r="G218" s="55" t="s">
        <v>5906</v>
      </c>
    </row>
    <row r="219" spans="1:7" x14ac:dyDescent="0.25">
      <c r="A219" t="s">
        <v>5907</v>
      </c>
      <c r="B219" s="305" t="str">
        <f t="shared" si="4"/>
        <v>Gross scope 2 market-based GHG Emissions</v>
      </c>
      <c r="C219" t="s">
        <v>5908</v>
      </c>
      <c r="D219" s="55" t="s">
        <v>5909</v>
      </c>
      <c r="E219" s="55" t="s">
        <v>5910</v>
      </c>
      <c r="F219" s="55" t="s">
        <v>5911</v>
      </c>
      <c r="G219" s="55" t="s">
        <v>5912</v>
      </c>
    </row>
    <row r="220" spans="1:7" x14ac:dyDescent="0.25">
      <c r="A220" t="s">
        <v>5913</v>
      </c>
      <c r="B220" s="305" t="str">
        <f t="shared" si="4"/>
        <v>Total Scope 1 and Scope 2 GHG Emissions (location-based)</v>
      </c>
      <c r="C220" t="s">
        <v>5914</v>
      </c>
      <c r="D220" s="55" t="s">
        <v>5915</v>
      </c>
      <c r="E220" s="55" t="s">
        <v>5916</v>
      </c>
      <c r="F220" s="55" t="s">
        <v>5917</v>
      </c>
      <c r="G220" s="55" t="s">
        <v>5918</v>
      </c>
    </row>
    <row r="221" spans="1:7" x14ac:dyDescent="0.25">
      <c r="A221" t="s">
        <v>5919</v>
      </c>
      <c r="B221" s="305" t="str">
        <f t="shared" si="4"/>
        <v>Total Scope 1 and Scope 2 GHG emissions  (market-based)</v>
      </c>
      <c r="C221" t="s">
        <v>5920</v>
      </c>
      <c r="D221" s="55" t="s">
        <v>5915</v>
      </c>
      <c r="E221" s="55" t="s">
        <v>5921</v>
      </c>
      <c r="F221" s="55" t="s">
        <v>5922</v>
      </c>
      <c r="G221" s="55" t="s">
        <v>5923</v>
      </c>
    </row>
    <row r="222" spans="1:7" x14ac:dyDescent="0.25">
      <c r="A222" t="s">
        <v>5924</v>
      </c>
      <c r="B222" s="305" t="str">
        <f t="shared" si="4"/>
        <v>Is the undertaking disclosing entity-specific information on Scope 3 emissions (in tCO2e)?</v>
      </c>
      <c r="C222" t="s">
        <v>5925</v>
      </c>
      <c r="D222" s="55" t="s">
        <v>5926</v>
      </c>
      <c r="E222" s="55" t="s">
        <v>5927</v>
      </c>
      <c r="F222" s="55" t="s">
        <v>5928</v>
      </c>
      <c r="G222" s="55" t="s">
        <v>5929</v>
      </c>
    </row>
    <row r="223" spans="1:7" x14ac:dyDescent="0.25">
      <c r="A223" t="s">
        <v>5930</v>
      </c>
      <c r="B223" s="305" t="str">
        <f t="shared" si="4"/>
        <v>1. Purchased Goods and Services</v>
      </c>
      <c r="C223" t="s">
        <v>5931</v>
      </c>
      <c r="D223" s="55" t="s">
        <v>5932</v>
      </c>
      <c r="E223" s="55" t="s">
        <v>5933</v>
      </c>
      <c r="F223" s="55" t="s">
        <v>5934</v>
      </c>
      <c r="G223" s="55" t="s">
        <v>5935</v>
      </c>
    </row>
    <row r="224" spans="1:7" x14ac:dyDescent="0.25">
      <c r="A224" t="s">
        <v>5936</v>
      </c>
      <c r="B224" s="305" t="str">
        <f t="shared" si="4"/>
        <v>2. Capital Goods</v>
      </c>
      <c r="C224" t="s">
        <v>5937</v>
      </c>
      <c r="D224" s="55" t="s">
        <v>5938</v>
      </c>
      <c r="E224" s="55" t="s">
        <v>5939</v>
      </c>
      <c r="F224" s="55" t="s">
        <v>5940</v>
      </c>
      <c r="G224" s="55" t="s">
        <v>5941</v>
      </c>
    </row>
    <row r="225" spans="1:7" x14ac:dyDescent="0.25">
      <c r="A225" t="s">
        <v>5942</v>
      </c>
      <c r="B225" s="305" t="str">
        <f t="shared" si="4"/>
        <v>3. Fuel- and Energy-Related Activities (Not Included in Scope 1 or Scope 2)</v>
      </c>
      <c r="C225" t="s">
        <v>5943</v>
      </c>
      <c r="D225" s="55" t="s">
        <v>5944</v>
      </c>
      <c r="E225" s="55" t="s">
        <v>5945</v>
      </c>
      <c r="F225" s="55" t="s">
        <v>5946</v>
      </c>
      <c r="G225" s="55" t="s">
        <v>5947</v>
      </c>
    </row>
    <row r="226" spans="1:7" x14ac:dyDescent="0.25">
      <c r="A226" t="s">
        <v>5948</v>
      </c>
      <c r="B226" s="305" t="str">
        <f t="shared" si="4"/>
        <v>4. Upstream Transportation and Distribution</v>
      </c>
      <c r="C226" t="s">
        <v>5949</v>
      </c>
      <c r="D226" s="55" t="s">
        <v>5950</v>
      </c>
      <c r="E226" s="55" t="s">
        <v>5951</v>
      </c>
      <c r="F226" s="55" t="s">
        <v>5952</v>
      </c>
      <c r="G226" s="55" t="s">
        <v>5953</v>
      </c>
    </row>
    <row r="227" spans="1:7" x14ac:dyDescent="0.25">
      <c r="A227" t="s">
        <v>5954</v>
      </c>
      <c r="B227" s="305" t="str">
        <f t="shared" si="4"/>
        <v>5. Waste Generated in Operations</v>
      </c>
      <c r="C227" t="s">
        <v>5955</v>
      </c>
      <c r="D227" s="55" t="s">
        <v>5956</v>
      </c>
      <c r="E227" s="55" t="s">
        <v>5957</v>
      </c>
      <c r="F227" s="55" t="s">
        <v>5958</v>
      </c>
      <c r="G227" s="55" t="s">
        <v>5959</v>
      </c>
    </row>
    <row r="228" spans="1:7" x14ac:dyDescent="0.25">
      <c r="A228" t="s">
        <v>5960</v>
      </c>
      <c r="B228" s="305" t="str">
        <f t="shared" si="4"/>
        <v>6. Business Travel</v>
      </c>
      <c r="C228" t="s">
        <v>5961</v>
      </c>
      <c r="D228" s="55" t="s">
        <v>5962</v>
      </c>
      <c r="E228" s="55" t="s">
        <v>5963</v>
      </c>
      <c r="F228" s="55" t="s">
        <v>5964</v>
      </c>
      <c r="G228" s="55" t="s">
        <v>5965</v>
      </c>
    </row>
    <row r="229" spans="1:7" x14ac:dyDescent="0.25">
      <c r="A229" t="s">
        <v>5966</v>
      </c>
      <c r="B229" s="305" t="str">
        <f t="shared" si="4"/>
        <v>7. Employee Commuting</v>
      </c>
      <c r="C229" t="s">
        <v>5967</v>
      </c>
      <c r="D229" s="55" t="s">
        <v>5968</v>
      </c>
      <c r="E229" s="55" t="s">
        <v>5969</v>
      </c>
      <c r="F229" s="55" t="s">
        <v>5970</v>
      </c>
      <c r="G229" s="55" t="s">
        <v>5971</v>
      </c>
    </row>
    <row r="230" spans="1:7" x14ac:dyDescent="0.25">
      <c r="A230" t="s">
        <v>5972</v>
      </c>
      <c r="B230" s="305" t="str">
        <f t="shared" si="4"/>
        <v>8. Upstream Leased Assets</v>
      </c>
      <c r="C230" t="s">
        <v>5973</v>
      </c>
      <c r="D230" s="55" t="s">
        <v>5974</v>
      </c>
      <c r="E230" s="55" t="s">
        <v>5975</v>
      </c>
      <c r="F230" s="55" t="s">
        <v>5976</v>
      </c>
      <c r="G230" s="55" t="s">
        <v>5977</v>
      </c>
    </row>
    <row r="231" spans="1:7" x14ac:dyDescent="0.25">
      <c r="A231" t="s">
        <v>5978</v>
      </c>
      <c r="B231" s="305" t="str">
        <f t="shared" si="4"/>
        <v>9. Downstream Transportation and Distribution</v>
      </c>
      <c r="C231" t="s">
        <v>5979</v>
      </c>
      <c r="D231" s="55" t="s">
        <v>5980</v>
      </c>
      <c r="E231" s="55" t="s">
        <v>5981</v>
      </c>
      <c r="F231" s="55" t="s">
        <v>5982</v>
      </c>
      <c r="G231" s="55" t="s">
        <v>5983</v>
      </c>
    </row>
    <row r="232" spans="1:7" x14ac:dyDescent="0.25">
      <c r="A232" t="s">
        <v>5984</v>
      </c>
      <c r="B232" s="305" t="str">
        <f t="shared" si="4"/>
        <v>10. Processing of Sold Products</v>
      </c>
      <c r="C232" t="s">
        <v>5985</v>
      </c>
      <c r="D232" s="55" t="s">
        <v>5986</v>
      </c>
      <c r="E232" s="55" t="s">
        <v>5987</v>
      </c>
      <c r="F232" s="55" t="s">
        <v>5988</v>
      </c>
      <c r="G232" s="55" t="s">
        <v>5989</v>
      </c>
    </row>
    <row r="233" spans="1:7" x14ac:dyDescent="0.25">
      <c r="A233" t="s">
        <v>5990</v>
      </c>
      <c r="B233" s="305" t="str">
        <f t="shared" si="4"/>
        <v>11. Use of Sold Products</v>
      </c>
      <c r="C233" t="s">
        <v>5991</v>
      </c>
      <c r="D233" s="55" t="s">
        <v>5992</v>
      </c>
      <c r="E233" s="55" t="s">
        <v>5993</v>
      </c>
      <c r="F233" s="55" t="s">
        <v>5994</v>
      </c>
      <c r="G233" s="55" t="s">
        <v>5995</v>
      </c>
    </row>
    <row r="234" spans="1:7" x14ac:dyDescent="0.25">
      <c r="A234" t="s">
        <v>5996</v>
      </c>
      <c r="B234" s="305" t="str">
        <f t="shared" si="4"/>
        <v>12. End-of-Life Treatment of Sold Products</v>
      </c>
      <c r="C234" t="s">
        <v>5997</v>
      </c>
      <c r="D234" s="55" t="s">
        <v>5998</v>
      </c>
      <c r="E234" s="55" t="s">
        <v>5999</v>
      </c>
      <c r="F234" s="55" t="s">
        <v>6000</v>
      </c>
      <c r="G234" s="55" t="s">
        <v>6001</v>
      </c>
    </row>
    <row r="235" spans="1:7" x14ac:dyDescent="0.25">
      <c r="A235" t="s">
        <v>6002</v>
      </c>
      <c r="B235" s="305" t="str">
        <f t="shared" si="4"/>
        <v>13. Downstream Leased Assets</v>
      </c>
      <c r="C235" t="s">
        <v>6003</v>
      </c>
      <c r="D235" s="55" t="s">
        <v>6004</v>
      </c>
      <c r="E235" s="55" t="s">
        <v>6005</v>
      </c>
      <c r="F235" s="55" t="s">
        <v>6006</v>
      </c>
      <c r="G235" s="55" t="s">
        <v>6007</v>
      </c>
    </row>
    <row r="236" spans="1:7" x14ac:dyDescent="0.25">
      <c r="A236" t="s">
        <v>6008</v>
      </c>
      <c r="B236" s="305" t="str">
        <f t="shared" si="4"/>
        <v>14. Franchises</v>
      </c>
      <c r="C236" t="s">
        <v>6009</v>
      </c>
      <c r="D236" s="55" t="s">
        <v>6010</v>
      </c>
      <c r="E236" s="55" t="s">
        <v>6011</v>
      </c>
      <c r="F236" s="55" t="s">
        <v>6012</v>
      </c>
      <c r="G236" s="55" t="s">
        <v>6013</v>
      </c>
    </row>
    <row r="237" spans="1:7" x14ac:dyDescent="0.25">
      <c r="A237" t="s">
        <v>6014</v>
      </c>
      <c r="B237" s="305" t="str">
        <f t="shared" si="4"/>
        <v>15. Investments</v>
      </c>
      <c r="C237" t="s">
        <v>6015</v>
      </c>
      <c r="D237" s="55" t="s">
        <v>6016</v>
      </c>
      <c r="E237" s="55" t="s">
        <v>6017</v>
      </c>
      <c r="F237" s="55" t="s">
        <v>6018</v>
      </c>
      <c r="G237" s="55" t="s">
        <v>6019</v>
      </c>
    </row>
    <row r="238" spans="1:7" x14ac:dyDescent="0.25">
      <c r="A238" t="s">
        <v>6020</v>
      </c>
      <c r="B238" s="305" t="str">
        <f t="shared" si="4"/>
        <v>Total Scope 3 GHG  emissions</v>
      </c>
      <c r="C238" t="s">
        <v>6021</v>
      </c>
      <c r="D238" s="55" t="s">
        <v>6022</v>
      </c>
      <c r="E238" s="55" t="s">
        <v>6023</v>
      </c>
      <c r="F238" s="55" t="s">
        <v>6024</v>
      </c>
      <c r="G238" s="55" t="s">
        <v>6025</v>
      </c>
    </row>
    <row r="239" spans="1:7" x14ac:dyDescent="0.25">
      <c r="A239" t="s">
        <v>6026</v>
      </c>
      <c r="B239" s="305" t="str">
        <f t="shared" si="4"/>
        <v>Total Scope 1 Scope 2 and Scope 3 GHG Emissions (location-based)</v>
      </c>
      <c r="C239" t="s">
        <v>6027</v>
      </c>
      <c r="D239" s="55" t="s">
        <v>6028</v>
      </c>
      <c r="E239" s="55" t="s">
        <v>6029</v>
      </c>
      <c r="F239" s="55" t="s">
        <v>6030</v>
      </c>
      <c r="G239" s="55" t="s">
        <v>6031</v>
      </c>
    </row>
    <row r="240" spans="1:7" s="9" customFormat="1" ht="15.75" thickBot="1" x14ac:dyDescent="0.3">
      <c r="A240" s="9" t="s">
        <v>6032</v>
      </c>
      <c r="B240" s="332" t="str">
        <f t="shared" si="4"/>
        <v>Total Scope 1 Scope 2 and Scope 3 GHG Emissions (market-based)</v>
      </c>
      <c r="C240" s="9" t="s">
        <v>6033</v>
      </c>
      <c r="D240" s="306" t="s">
        <v>6034</v>
      </c>
      <c r="E240" s="306" t="s">
        <v>6035</v>
      </c>
      <c r="F240" s="306" t="s">
        <v>6036</v>
      </c>
      <c r="G240" s="306" t="s">
        <v>6037</v>
      </c>
    </row>
    <row r="241" spans="1:7" x14ac:dyDescent="0.25">
      <c r="A241" t="s">
        <v>6038</v>
      </c>
      <c r="B241" s="305" t="str">
        <f t="shared" si="4"/>
        <v>C3 - Disclosure of list of main actions the entity seeks in order to achieve its targets</v>
      </c>
      <c r="C241" t="s">
        <v>6039</v>
      </c>
      <c r="D241" s="55" t="s">
        <v>6040</v>
      </c>
      <c r="E241" s="55" t="s">
        <v>6041</v>
      </c>
      <c r="F241" s="55" t="s">
        <v>6042</v>
      </c>
      <c r="G241" s="55" t="s">
        <v>6043</v>
      </c>
    </row>
    <row r="242" spans="1:7" x14ac:dyDescent="0.25">
      <c r="A242" t="s">
        <v>6044</v>
      </c>
      <c r="B242" s="305" t="str">
        <f t="shared" si="4"/>
        <v>C3 - Transition plan for undertakings operating in high climate impact sectors</v>
      </c>
      <c r="C242" t="s">
        <v>6045</v>
      </c>
      <c r="D242" s="55" t="s">
        <v>6046</v>
      </c>
      <c r="E242" s="55" t="s">
        <v>6047</v>
      </c>
      <c r="F242" s="55" t="s">
        <v>6048</v>
      </c>
      <c r="G242" s="55" t="s">
        <v>6049</v>
      </c>
    </row>
    <row r="243" spans="1:7" x14ac:dyDescent="0.25">
      <c r="A243" t="s">
        <v>6050</v>
      </c>
      <c r="B243" s="305" t="str">
        <f t="shared" si="4"/>
        <v>Is the undertaking operating in high impact sectors?</v>
      </c>
      <c r="C243" t="s">
        <v>6051</v>
      </c>
      <c r="D243" s="55" t="s">
        <v>6052</v>
      </c>
      <c r="E243" s="55" t="s">
        <v>6053</v>
      </c>
      <c r="F243" s="55" t="s">
        <v>6054</v>
      </c>
      <c r="G243" s="55" t="s">
        <v>6055</v>
      </c>
    </row>
    <row r="244" spans="1:7" x14ac:dyDescent="0.25">
      <c r="A244" t="s">
        <v>6056</v>
      </c>
      <c r="B244" s="305" t="str">
        <f t="shared" si="4"/>
        <v>Status of implementation of a transition plan in relation to climate change mitigation</v>
      </c>
      <c r="C244" t="s">
        <v>6057</v>
      </c>
      <c r="D244" s="55" t="s">
        <v>6058</v>
      </c>
      <c r="E244" s="55" t="s">
        <v>6059</v>
      </c>
      <c r="F244" s="55" t="s">
        <v>6060</v>
      </c>
      <c r="G244" s="55" t="s">
        <v>6061</v>
      </c>
    </row>
    <row r="245" spans="1:7" x14ac:dyDescent="0.25">
      <c r="A245" t="s">
        <v>6062</v>
      </c>
      <c r="B245" s="305" t="str">
        <f t="shared" si="4"/>
        <v>Description of a transition plan for climate change mitigation including an explanation of how it is contributing to reduce GHG emissions</v>
      </c>
      <c r="C245" t="s">
        <v>6063</v>
      </c>
      <c r="D245" s="55" t="s">
        <v>6064</v>
      </c>
      <c r="E245" s="55" t="s">
        <v>6065</v>
      </c>
      <c r="F245" s="55" t="s">
        <v>6066</v>
      </c>
      <c r="G245" s="55" t="s">
        <v>6067</v>
      </c>
    </row>
    <row r="246" spans="1:7" x14ac:dyDescent="0.25">
      <c r="A246" t="s">
        <v>6068</v>
      </c>
      <c r="B246" s="305" t="str">
        <f t="shared" si="4"/>
        <v>Date of foreseen adoption of transition plan for undertaking not having adopted transition plan yet</v>
      </c>
      <c r="C246" t="s">
        <v>6069</v>
      </c>
      <c r="D246" s="55" t="s">
        <v>6070</v>
      </c>
      <c r="E246" s="55" t="s">
        <v>6071</v>
      </c>
      <c r="F246" s="55" t="s">
        <v>6072</v>
      </c>
      <c r="G246" s="55" t="s">
        <v>6073</v>
      </c>
    </row>
    <row r="247" spans="1:7" x14ac:dyDescent="0.25">
      <c r="A247" t="s">
        <v>6074</v>
      </c>
      <c r="B247" s="305" t="str">
        <f t="shared" si="4"/>
        <v>Year</v>
      </c>
      <c r="C247" t="s">
        <v>232</v>
      </c>
      <c r="D247" s="55" t="s">
        <v>6075</v>
      </c>
      <c r="E247" s="55" t="s">
        <v>6076</v>
      </c>
      <c r="F247" s="55" t="s">
        <v>6077</v>
      </c>
      <c r="G247" s="55" t="s">
        <v>6078</v>
      </c>
    </row>
    <row r="248" spans="1:7" x14ac:dyDescent="0.25">
      <c r="A248" t="s">
        <v>6079</v>
      </c>
      <c r="B248" s="305" t="str">
        <f t="shared" si="4"/>
        <v>Month</v>
      </c>
      <c r="C248" t="s">
        <v>233</v>
      </c>
      <c r="D248" s="55" t="s">
        <v>6080</v>
      </c>
      <c r="E248" s="55" t="s">
        <v>6081</v>
      </c>
      <c r="F248" s="55" t="s">
        <v>6082</v>
      </c>
      <c r="G248" s="55" t="s">
        <v>6083</v>
      </c>
    </row>
    <row r="249" spans="1:7" x14ac:dyDescent="0.25">
      <c r="A249" t="s">
        <v>6084</v>
      </c>
      <c r="B249" s="305" t="str">
        <f t="shared" si="4"/>
        <v>Day</v>
      </c>
      <c r="C249" t="s">
        <v>6085</v>
      </c>
      <c r="D249" s="55" t="s">
        <v>6086</v>
      </c>
      <c r="E249" s="55" t="s">
        <v>6087</v>
      </c>
      <c r="F249" s="55" t="s">
        <v>6088</v>
      </c>
      <c r="G249" s="55" t="s">
        <v>6089</v>
      </c>
    </row>
    <row r="250" spans="1:7" x14ac:dyDescent="0.25">
      <c r="A250" t="s">
        <v>6090</v>
      </c>
      <c r="B250" s="305" t="str">
        <f t="shared" si="4"/>
        <v>B3 - Greenhouse gas emission intensity per turnover (in tCO2e)</v>
      </c>
      <c r="C250" t="s">
        <v>6091</v>
      </c>
      <c r="D250" s="55" t="s">
        <v>6092</v>
      </c>
      <c r="E250" s="55" t="s">
        <v>6093</v>
      </c>
      <c r="F250" s="55" t="s">
        <v>6094</v>
      </c>
      <c r="G250" s="55" t="s">
        <v>6095</v>
      </c>
    </row>
    <row r="251" spans="1:7" x14ac:dyDescent="0.25">
      <c r="A251" t="s">
        <v>6096</v>
      </c>
      <c r="B251" s="305" t="str">
        <f t="shared" si="4"/>
        <v>Scope 1 and Scope 2 GHG Emissions intensity (location-based)</v>
      </c>
      <c r="C251" t="s">
        <v>6097</v>
      </c>
      <c r="D251" s="55" t="s">
        <v>6098</v>
      </c>
      <c r="E251" s="55" t="s">
        <v>6099</v>
      </c>
      <c r="F251" s="55" t="s">
        <v>6100</v>
      </c>
      <c r="G251" s="55" t="s">
        <v>6101</v>
      </c>
    </row>
    <row r="252" spans="1:7" x14ac:dyDescent="0.25">
      <c r="A252" t="s">
        <v>6102</v>
      </c>
      <c r="B252" s="305" t="str">
        <f t="shared" si="4"/>
        <v>Scope 1 and Scope 2 GHG Emissions intensity (market-based)</v>
      </c>
      <c r="C252" t="s">
        <v>6103</v>
      </c>
      <c r="D252" s="55" t="s">
        <v>6104</v>
      </c>
      <c r="E252" s="55" t="s">
        <v>6105</v>
      </c>
      <c r="F252" s="55" t="s">
        <v>6106</v>
      </c>
      <c r="G252" s="55" t="s">
        <v>6107</v>
      </c>
    </row>
    <row r="253" spans="1:7" x14ac:dyDescent="0.25">
      <c r="A253" t="s">
        <v>6108</v>
      </c>
      <c r="B253" s="305" t="str">
        <f t="shared" si="4"/>
        <v>Total Scope 1 Scope 2 and Scope 3 GHG Emissions intensity (location-based)</v>
      </c>
      <c r="C253" t="s">
        <v>6109</v>
      </c>
      <c r="D253" s="55" t="s">
        <v>6110</v>
      </c>
      <c r="E253" s="55" t="s">
        <v>6111</v>
      </c>
      <c r="F253" s="55" t="s">
        <v>6112</v>
      </c>
      <c r="G253" s="55" t="s">
        <v>6113</v>
      </c>
    </row>
    <row r="254" spans="1:7" s="9" customFormat="1" ht="15.75" thickBot="1" x14ac:dyDescent="0.3">
      <c r="A254" s="9" t="s">
        <v>6114</v>
      </c>
      <c r="B254" s="332" t="str">
        <f t="shared" si="4"/>
        <v>Total Scope 1 Scope 2 and Scope 3 GHG Emissions intensity (market-based)</v>
      </c>
      <c r="C254" s="9" t="s">
        <v>6115</v>
      </c>
      <c r="D254" s="306" t="s">
        <v>6116</v>
      </c>
      <c r="E254" s="306" t="s">
        <v>6117</v>
      </c>
      <c r="F254" s="306" t="s">
        <v>6118</v>
      </c>
      <c r="G254" s="306" t="s">
        <v>6119</v>
      </c>
    </row>
    <row r="255" spans="1:7" x14ac:dyDescent="0.25">
      <c r="A255" t="s">
        <v>6120</v>
      </c>
      <c r="B255" s="305" t="str">
        <f t="shared" si="4"/>
        <v>B4 – Pollution of air water and soil</v>
      </c>
      <c r="C255" t="s">
        <v>6121</v>
      </c>
      <c r="D255" s="55" t="s">
        <v>6122</v>
      </c>
      <c r="E255" s="55" t="s">
        <v>5070</v>
      </c>
      <c r="F255" s="55" t="s">
        <v>6123</v>
      </c>
      <c r="G255" s="55" t="s">
        <v>5072</v>
      </c>
    </row>
    <row r="256" spans="1:7" x14ac:dyDescent="0.25">
      <c r="A256" t="s">
        <v>6124</v>
      </c>
      <c r="B256" s="305" t="str">
        <f t="shared" si="4"/>
        <v>Is the undertaking already required by law or other national regulations to report to competent authorities its emissions of pollutants or does it already voluntarily report on them according to an Environmental Management System?</v>
      </c>
      <c r="C256" t="s">
        <v>6125</v>
      </c>
      <c r="D256" s="55" t="s">
        <v>6126</v>
      </c>
      <c r="E256" s="55" t="s">
        <v>6127</v>
      </c>
      <c r="F256" s="55" t="s">
        <v>6128</v>
      </c>
      <c r="G256" s="55" t="s">
        <v>6129</v>
      </c>
    </row>
    <row r="257" spans="1:7" x14ac:dyDescent="0.25">
      <c r="A257" t="s">
        <v>6130</v>
      </c>
      <c r="B257" s="305" t="str">
        <f t="shared" si="4"/>
        <v>Is this disclosure already publicly available?</v>
      </c>
      <c r="C257" t="s">
        <v>6131</v>
      </c>
      <c r="D257" s="55" t="s">
        <v>6132</v>
      </c>
      <c r="E257" s="55" t="s">
        <v>6133</v>
      </c>
      <c r="F257" s="55" t="s">
        <v>6134</v>
      </c>
      <c r="G257" s="55" t="s">
        <v>6135</v>
      </c>
    </row>
    <row r="258" spans="1:7" x14ac:dyDescent="0.25">
      <c r="A258" t="s">
        <v>6136</v>
      </c>
      <c r="B258" s="305" t="str">
        <f t="shared" si="4"/>
        <v>Please provide the relevant URL link or hyperlink of where this information is reported</v>
      </c>
      <c r="C258" t="s">
        <v>6137</v>
      </c>
      <c r="D258" s="55" t="s">
        <v>6138</v>
      </c>
      <c r="E258" s="55" t="s">
        <v>6139</v>
      </c>
      <c r="F258" s="55" t="s">
        <v>6140</v>
      </c>
      <c r="G258" s="55" t="s">
        <v>6141</v>
      </c>
    </row>
    <row r="259" spans="1:7" x14ac:dyDescent="0.25">
      <c r="A259" t="s">
        <v>6142</v>
      </c>
      <c r="B259" s="305" t="str">
        <f t="shared" si="4"/>
        <v>Please select the unit used for reporting the amount (i.e. either kg or tonne)</v>
      </c>
      <c r="C259" t="s">
        <v>6143</v>
      </c>
      <c r="D259" s="55" t="s">
        <v>6144</v>
      </c>
      <c r="E259" s="55" t="s">
        <v>6145</v>
      </c>
      <c r="F259" s="55" t="s">
        <v>6146</v>
      </c>
      <c r="G259" s="55" t="s">
        <v>6147</v>
      </c>
    </row>
    <row r="260" spans="1:7" x14ac:dyDescent="0.25">
      <c r="A260" t="s">
        <v>6148</v>
      </c>
      <c r="B260" s="305" t="str">
        <f t="shared" ref="B260:B323" si="5">INDEX(C260:G260,MATCH(template_selected_display_language,$C$3:$G$3,0))</f>
        <v>Row ID</v>
      </c>
      <c r="C260" t="s">
        <v>6149</v>
      </c>
      <c r="D260" s="55" t="s">
        <v>6150</v>
      </c>
      <c r="E260" s="55" t="s">
        <v>6151</v>
      </c>
      <c r="F260" s="55" t="s">
        <v>6152</v>
      </c>
      <c r="G260" s="55" t="s">
        <v>6153</v>
      </c>
    </row>
    <row r="261" spans="1:7" x14ac:dyDescent="0.25">
      <c r="A261" t="s">
        <v>6154</v>
      </c>
      <c r="B261" s="305" t="str">
        <f t="shared" si="5"/>
        <v>Pollutant</v>
      </c>
      <c r="C261" t="s">
        <v>6155</v>
      </c>
      <c r="D261" s="55" t="s">
        <v>6156</v>
      </c>
      <c r="E261" s="55" t="s">
        <v>6157</v>
      </c>
      <c r="F261" s="55" t="s">
        <v>6158</v>
      </c>
      <c r="G261" s="55" t="s">
        <v>6159</v>
      </c>
    </row>
    <row r="262" spans="1:7" x14ac:dyDescent="0.25">
      <c r="A262" t="s">
        <v>6160</v>
      </c>
      <c r="B262" s="305" t="str">
        <f t="shared" si="5"/>
        <v>Emission to air</v>
      </c>
      <c r="C262" t="s">
        <v>6161</v>
      </c>
      <c r="D262" s="55" t="s">
        <v>6162</v>
      </c>
      <c r="E262" s="55" t="s">
        <v>6163</v>
      </c>
      <c r="F262" s="55" t="s">
        <v>6164</v>
      </c>
      <c r="G262" s="55" t="s">
        <v>6165</v>
      </c>
    </row>
    <row r="263" spans="1:7" x14ac:dyDescent="0.25">
      <c r="A263" t="s">
        <v>6166</v>
      </c>
      <c r="B263" s="305" t="str">
        <f t="shared" si="5"/>
        <v>Emission to water</v>
      </c>
      <c r="C263" t="s">
        <v>6167</v>
      </c>
      <c r="D263" s="55" t="s">
        <v>6168</v>
      </c>
      <c r="E263" s="55" t="s">
        <v>6169</v>
      </c>
      <c r="F263" s="55" t="s">
        <v>6170</v>
      </c>
      <c r="G263" s="55" t="s">
        <v>6171</v>
      </c>
    </row>
    <row r="264" spans="1:7" s="9" customFormat="1" ht="15.75" thickBot="1" x14ac:dyDescent="0.3">
      <c r="A264" s="9" t="s">
        <v>6172</v>
      </c>
      <c r="B264" s="332" t="str">
        <f t="shared" si="5"/>
        <v>Emission to soil</v>
      </c>
      <c r="C264" s="9" t="s">
        <v>6173</v>
      </c>
      <c r="D264" s="306" t="s">
        <v>6174</v>
      </c>
      <c r="E264" s="306" t="s">
        <v>6175</v>
      </c>
      <c r="F264" s="306" t="s">
        <v>6176</v>
      </c>
      <c r="G264" s="306" t="s">
        <v>6177</v>
      </c>
    </row>
    <row r="265" spans="1:7" x14ac:dyDescent="0.25">
      <c r="A265" t="s">
        <v>6178</v>
      </c>
      <c r="B265" s="305" t="str">
        <f t="shared" si="5"/>
        <v>B5 - Sites in biodiversity sensitive areas</v>
      </c>
      <c r="C265" t="s">
        <v>6179</v>
      </c>
      <c r="D265" s="55" t="s">
        <v>6180</v>
      </c>
      <c r="E265" s="55" t="s">
        <v>6181</v>
      </c>
      <c r="F265" s="55" t="s">
        <v>6182</v>
      </c>
      <c r="G265" s="55" t="s">
        <v>6183</v>
      </c>
    </row>
    <row r="266" spans="1:7" x14ac:dyDescent="0.25">
      <c r="A266" t="s">
        <v>6184</v>
      </c>
      <c r="B266" s="305" t="str">
        <f t="shared" si="5"/>
        <v>Does the undertaking have sites that are located in or near biodiversity sensitive areas?</v>
      </c>
      <c r="C266" t="s">
        <v>6185</v>
      </c>
      <c r="D266" s="55" t="s">
        <v>6186</v>
      </c>
      <c r="E266" s="55" t="s">
        <v>6187</v>
      </c>
      <c r="F266" s="55" t="s">
        <v>6188</v>
      </c>
      <c r="G266" s="55" t="s">
        <v>6189</v>
      </c>
    </row>
    <row r="267" spans="1:7" x14ac:dyDescent="0.25">
      <c r="A267" t="s">
        <v>6190</v>
      </c>
      <c r="B267" s="305" t="str">
        <f t="shared" si="5"/>
        <v>Please select the unit used for the area (i.e. either hectares or m²):</v>
      </c>
      <c r="C267" t="s">
        <v>6191</v>
      </c>
      <c r="D267" s="55" t="s">
        <v>6192</v>
      </c>
      <c r="E267" s="55" t="s">
        <v>6193</v>
      </c>
      <c r="F267" s="55" t="s">
        <v>6194</v>
      </c>
      <c r="G267" s="55" t="s">
        <v>6195</v>
      </c>
    </row>
    <row r="268" spans="1:7" x14ac:dyDescent="0.25">
      <c r="A268" t="s">
        <v>6196</v>
      </c>
      <c r="B268" s="305" t="str">
        <f t="shared" si="5"/>
        <v>Related Site ID (select an ID from a site location reported in B1)</v>
      </c>
      <c r="C268" t="s">
        <v>6197</v>
      </c>
      <c r="D268" s="55" t="s">
        <v>6198</v>
      </c>
      <c r="E268" s="55" t="s">
        <v>6199</v>
      </c>
      <c r="F268" s="55" t="s">
        <v>6200</v>
      </c>
      <c r="G268" s="55" t="s">
        <v>6201</v>
      </c>
    </row>
    <row r="269" spans="1:7" x14ac:dyDescent="0.25">
      <c r="A269" t="s">
        <v>6202</v>
      </c>
      <c r="B269" s="305" t="str">
        <f t="shared" si="5"/>
        <v>Site Location in near a biodiversity area - auto filled from B1</v>
      </c>
      <c r="C269" t="s">
        <v>6203</v>
      </c>
      <c r="D269" s="55" t="s">
        <v>6204</v>
      </c>
      <c r="E269" s="55" t="s">
        <v>6205</v>
      </c>
      <c r="F269" s="55" t="s">
        <v>6206</v>
      </c>
      <c r="G269" s="55" t="s">
        <v>6207</v>
      </c>
    </row>
    <row r="270" spans="1:7" x14ac:dyDescent="0.25">
      <c r="A270" t="s">
        <v>6208</v>
      </c>
      <c r="B270" s="305" t="str">
        <f t="shared" si="5"/>
        <v>Area (hectares or m² based on the selection above)</v>
      </c>
      <c r="C270" t="s">
        <v>6209</v>
      </c>
      <c r="D270" s="55" t="s">
        <v>6210</v>
      </c>
      <c r="E270" s="55" t="s">
        <v>6211</v>
      </c>
      <c r="F270" s="55" t="s">
        <v>6212</v>
      </c>
      <c r="G270" s="55" t="s">
        <v>6213</v>
      </c>
    </row>
    <row r="271" spans="1:7" x14ac:dyDescent="0.25">
      <c r="A271" t="s">
        <v>6214</v>
      </c>
      <c r="B271" s="305" t="str">
        <f t="shared" si="5"/>
        <v>Site located in a biodiversity sensitive area</v>
      </c>
      <c r="C271" t="s">
        <v>6215</v>
      </c>
      <c r="D271" s="55" t="s">
        <v>6216</v>
      </c>
      <c r="E271" s="55" t="s">
        <v>6217</v>
      </c>
      <c r="F271" s="55" t="s">
        <v>6218</v>
      </c>
      <c r="G271" s="55" t="s">
        <v>6219</v>
      </c>
    </row>
    <row r="272" spans="1:7" s="9" customFormat="1" ht="15.75" thickBot="1" x14ac:dyDescent="0.3">
      <c r="A272" s="9" t="s">
        <v>6220</v>
      </c>
      <c r="B272" s="332" t="str">
        <f t="shared" si="5"/>
        <v>Site located near a biodiversity sensitive area</v>
      </c>
      <c r="C272" s="9" t="s">
        <v>6221</v>
      </c>
      <c r="D272" s="306" t="s">
        <v>6222</v>
      </c>
      <c r="E272" s="306" t="s">
        <v>6223</v>
      </c>
      <c r="F272" s="306" t="s">
        <v>6224</v>
      </c>
      <c r="G272" s="306" t="s">
        <v>6225</v>
      </c>
    </row>
    <row r="273" spans="1:7" x14ac:dyDescent="0.25">
      <c r="A273" t="s">
        <v>6226</v>
      </c>
      <c r="B273" s="305" t="str">
        <f t="shared" si="5"/>
        <v>B5 - Biodiversity - Land-use</v>
      </c>
      <c r="C273" t="s">
        <v>6227</v>
      </c>
      <c r="D273" s="55" t="s">
        <v>6228</v>
      </c>
      <c r="E273" s="55" t="s">
        <v>6229</v>
      </c>
      <c r="F273" s="55" t="s">
        <v>6230</v>
      </c>
      <c r="G273" s="55" t="s">
        <v>6231</v>
      </c>
    </row>
    <row r="274" spans="1:7" x14ac:dyDescent="0.25">
      <c r="A274" t="s">
        <v>6232</v>
      </c>
      <c r="B274" s="305" t="str">
        <f t="shared" si="5"/>
        <v>Land-use type</v>
      </c>
      <c r="C274" t="s">
        <v>6233</v>
      </c>
      <c r="D274" s="55" t="s">
        <v>6234</v>
      </c>
      <c r="E274" s="55" t="s">
        <v>6235</v>
      </c>
      <c r="F274" s="55" t="s">
        <v>6236</v>
      </c>
      <c r="G274" s="55" t="s">
        <v>6237</v>
      </c>
    </row>
    <row r="275" spans="1:7" x14ac:dyDescent="0.25">
      <c r="A275" t="s">
        <v>6238</v>
      </c>
      <c r="B275" s="305" t="str">
        <f t="shared" si="5"/>
        <v>Area</v>
      </c>
      <c r="C275" t="s">
        <v>6239</v>
      </c>
      <c r="D275" s="55" t="s">
        <v>6240</v>
      </c>
      <c r="E275" s="55" t="s">
        <v>6241</v>
      </c>
      <c r="F275" s="55" t="s">
        <v>6242</v>
      </c>
      <c r="G275" s="55" t="s">
        <v>6242</v>
      </c>
    </row>
    <row r="276" spans="1:7" x14ac:dyDescent="0.25">
      <c r="A276" t="s">
        <v>6243</v>
      </c>
      <c r="B276" s="305" t="str">
        <f t="shared" si="5"/>
        <v>Total sealed area</v>
      </c>
      <c r="C276" t="s">
        <v>6244</v>
      </c>
      <c r="D276" s="55" t="s">
        <v>6245</v>
      </c>
      <c r="E276" s="55" t="s">
        <v>6246</v>
      </c>
      <c r="F276" s="55" t="s">
        <v>6247</v>
      </c>
      <c r="G276" s="55" t="s">
        <v>6248</v>
      </c>
    </row>
    <row r="277" spans="1:7" x14ac:dyDescent="0.25">
      <c r="A277" t="s">
        <v>6249</v>
      </c>
      <c r="B277" s="305" t="str">
        <f t="shared" si="5"/>
        <v>Total nature-oriented area on-site</v>
      </c>
      <c r="C277" t="s">
        <v>6250</v>
      </c>
      <c r="D277" s="55" t="s">
        <v>6251</v>
      </c>
      <c r="E277" s="55" t="s">
        <v>6252</v>
      </c>
      <c r="F277" s="55" t="s">
        <v>6253</v>
      </c>
      <c r="G277" s="55" t="s">
        <v>6254</v>
      </c>
    </row>
    <row r="278" spans="1:7" x14ac:dyDescent="0.25">
      <c r="A278" t="s">
        <v>6255</v>
      </c>
      <c r="B278" s="305" t="str">
        <f t="shared" si="5"/>
        <v>Total nature-oriented area off-site</v>
      </c>
      <c r="C278" t="s">
        <v>6256</v>
      </c>
      <c r="D278" s="55" t="s">
        <v>6257</v>
      </c>
      <c r="E278" s="55" t="s">
        <v>6258</v>
      </c>
      <c r="F278" s="55" t="s">
        <v>6259</v>
      </c>
      <c r="G278" s="55" t="s">
        <v>6260</v>
      </c>
    </row>
    <row r="279" spans="1:7" s="9" customFormat="1" ht="15.75" thickBot="1" x14ac:dyDescent="0.3">
      <c r="A279" s="9" t="s">
        <v>6261</v>
      </c>
      <c r="B279" s="332" t="str">
        <f t="shared" si="5"/>
        <v>Total use of land</v>
      </c>
      <c r="C279" s="9" t="s">
        <v>6262</v>
      </c>
      <c r="D279" s="306" t="s">
        <v>6263</v>
      </c>
      <c r="E279" s="306" t="s">
        <v>6264</v>
      </c>
      <c r="F279" s="306" t="s">
        <v>6265</v>
      </c>
      <c r="G279" s="306" t="s">
        <v>6266</v>
      </c>
    </row>
    <row r="280" spans="1:7" x14ac:dyDescent="0.25">
      <c r="A280" t="s">
        <v>6267</v>
      </c>
      <c r="B280" s="305" t="str">
        <f t="shared" si="5"/>
        <v>B6 - Water Withdrawal</v>
      </c>
      <c r="C280" t="s">
        <v>6268</v>
      </c>
      <c r="D280" s="55" t="s">
        <v>6269</v>
      </c>
      <c r="E280" s="55" t="s">
        <v>6270</v>
      </c>
      <c r="F280" s="55" t="s">
        <v>6271</v>
      </c>
      <c r="G280" s="55" t="s">
        <v>5102</v>
      </c>
    </row>
    <row r="281" spans="1:7" x14ac:dyDescent="0.25">
      <c r="A281" t="s">
        <v>6272</v>
      </c>
      <c r="B281" s="305" t="str">
        <f t="shared" si="5"/>
        <v>Total amount of water withdrawn from all sites (cubic meters m³)</v>
      </c>
      <c r="C281" t="s">
        <v>6273</v>
      </c>
      <c r="D281" s="55" t="s">
        <v>6274</v>
      </c>
      <c r="E281" s="55" t="s">
        <v>6275</v>
      </c>
      <c r="F281" s="55" t="s">
        <v>6276</v>
      </c>
      <c r="G281" s="55" t="s">
        <v>6277</v>
      </c>
    </row>
    <row r="282" spans="1:7" s="9" customFormat="1" ht="15.75" thickBot="1" x14ac:dyDescent="0.3">
      <c r="A282" s="9" t="s">
        <v>6278</v>
      </c>
      <c r="B282" s="332" t="str">
        <f t="shared" si="5"/>
        <v>Amount of water withdrawn at sites located in areas of high water-stress (cubic meters m³)</v>
      </c>
      <c r="C282" s="9" t="s">
        <v>6279</v>
      </c>
      <c r="D282" s="306" t="s">
        <v>6280</v>
      </c>
      <c r="E282" s="306" t="s">
        <v>6281</v>
      </c>
      <c r="F282" s="306" t="s">
        <v>6282</v>
      </c>
      <c r="G282" s="306" t="s">
        <v>6283</v>
      </c>
    </row>
    <row r="283" spans="1:7" x14ac:dyDescent="0.25">
      <c r="A283" t="s">
        <v>6284</v>
      </c>
      <c r="B283" s="305" t="str">
        <f t="shared" si="5"/>
        <v>B6 - Water Consumption</v>
      </c>
      <c r="C283" t="s">
        <v>6285</v>
      </c>
      <c r="D283" s="55" t="s">
        <v>6286</v>
      </c>
      <c r="E283" s="55" t="s">
        <v>6287</v>
      </c>
      <c r="F283" s="55" t="s">
        <v>6288</v>
      </c>
      <c r="G283" s="55" t="s">
        <v>6289</v>
      </c>
    </row>
    <row r="284" spans="1:7" x14ac:dyDescent="0.25">
      <c r="A284" t="s">
        <v>6290</v>
      </c>
      <c r="B284" s="305" t="str">
        <f t="shared" si="5"/>
        <v>Does the undertaking have production processes in place which significantly consume water (e.g. thermal energy processes like drying or power production production of goods agricultural irrigation etc.)?</v>
      </c>
      <c r="C284" t="s">
        <v>6291</v>
      </c>
      <c r="D284" s="55" t="s">
        <v>6292</v>
      </c>
      <c r="E284" s="55" t="s">
        <v>6293</v>
      </c>
      <c r="F284" s="55" t="s">
        <v>6294</v>
      </c>
      <c r="G284" s="55" t="s">
        <v>6295</v>
      </c>
    </row>
    <row r="285" spans="1:7" x14ac:dyDescent="0.25">
      <c r="A285" t="s">
        <v>6296</v>
      </c>
      <c r="B285" s="305" t="str">
        <f t="shared" si="5"/>
        <v>Water discharge from undertaking production processes (m³)</v>
      </c>
      <c r="C285" t="s">
        <v>6297</v>
      </c>
      <c r="D285" s="55" t="s">
        <v>6298</v>
      </c>
      <c r="E285" s="55" t="s">
        <v>6299</v>
      </c>
      <c r="F285" s="55" t="s">
        <v>6300</v>
      </c>
      <c r="G285" s="55" t="s">
        <v>6301</v>
      </c>
    </row>
    <row r="286" spans="1:7" s="9" customFormat="1" ht="15.75" thickBot="1" x14ac:dyDescent="0.3">
      <c r="A286" s="9" t="s">
        <v>6302</v>
      </c>
      <c r="B286" s="332" t="str">
        <f t="shared" si="5"/>
        <v>Total water consumption (m³)</v>
      </c>
      <c r="C286" s="9" t="s">
        <v>6303</v>
      </c>
      <c r="D286" s="306" t="s">
        <v>6304</v>
      </c>
      <c r="E286" s="306" t="s">
        <v>6305</v>
      </c>
      <c r="F286" s="306" t="s">
        <v>6306</v>
      </c>
      <c r="G286" s="306" t="s">
        <v>6307</v>
      </c>
    </row>
    <row r="287" spans="1:7" x14ac:dyDescent="0.25">
      <c r="A287" t="s">
        <v>6308</v>
      </c>
      <c r="B287" s="305" t="str">
        <f t="shared" si="5"/>
        <v>B7 - Description of circular economy principles</v>
      </c>
      <c r="C287" t="s">
        <v>6309</v>
      </c>
      <c r="D287" s="55" t="s">
        <v>6310</v>
      </c>
      <c r="E287" s="55" t="s">
        <v>6311</v>
      </c>
      <c r="F287" s="55" t="s">
        <v>6312</v>
      </c>
      <c r="G287" s="55" t="s">
        <v>6313</v>
      </c>
    </row>
    <row r="288" spans="1:7" x14ac:dyDescent="0.25">
      <c r="A288" t="s">
        <v>6314</v>
      </c>
      <c r="B288" s="305" t="str">
        <f t="shared" si="5"/>
        <v>Undertaking applies circular economy principles</v>
      </c>
      <c r="C288" t="s">
        <v>6315</v>
      </c>
      <c r="D288" s="55" t="s">
        <v>6316</v>
      </c>
      <c r="E288" s="55" t="s">
        <v>6317</v>
      </c>
      <c r="F288" s="55" t="s">
        <v>6318</v>
      </c>
      <c r="G288" s="55" t="s">
        <v>6319</v>
      </c>
    </row>
    <row r="289" spans="1:7" s="9" customFormat="1" ht="15.75" thickBot="1" x14ac:dyDescent="0.3">
      <c r="A289" s="9" t="s">
        <v>6320</v>
      </c>
      <c r="B289" s="332" t="str">
        <f t="shared" si="5"/>
        <v>Description of how it applies these principles</v>
      </c>
      <c r="C289" s="9" t="s">
        <v>6321</v>
      </c>
      <c r="D289" s="306" t="s">
        <v>6322</v>
      </c>
      <c r="E289" s="306" t="s">
        <v>6323</v>
      </c>
      <c r="F289" s="306" t="s">
        <v>6324</v>
      </c>
      <c r="G289" s="306" t="s">
        <v>6325</v>
      </c>
    </row>
    <row r="290" spans="1:7" x14ac:dyDescent="0.25">
      <c r="A290" t="s">
        <v>6326</v>
      </c>
      <c r="B290" s="305" t="str">
        <f t="shared" si="5"/>
        <v>B7 - Waste generated</v>
      </c>
      <c r="C290" t="s">
        <v>6327</v>
      </c>
      <c r="D290" s="55" t="s">
        <v>6328</v>
      </c>
      <c r="E290" s="55" t="s">
        <v>6329</v>
      </c>
      <c r="F290" s="55" t="s">
        <v>6330</v>
      </c>
      <c r="G290" s="55" t="s">
        <v>6331</v>
      </c>
    </row>
    <row r="291" spans="1:7" x14ac:dyDescent="0.25">
      <c r="A291" t="s">
        <v>6332</v>
      </c>
      <c r="B291" s="305" t="str">
        <f t="shared" si="5"/>
        <v>Type of waste</v>
      </c>
      <c r="C291" t="s">
        <v>6333</v>
      </c>
      <c r="D291" s="55" t="s">
        <v>6334</v>
      </c>
      <c r="E291" s="55" t="s">
        <v>6335</v>
      </c>
      <c r="F291" s="55" t="s">
        <v>6336</v>
      </c>
      <c r="G291" s="55" t="s">
        <v>6337</v>
      </c>
    </row>
    <row r="292" spans="1:7" x14ac:dyDescent="0.25">
      <c r="A292" t="s">
        <v>6338</v>
      </c>
      <c r="B292" s="305" t="str">
        <f t="shared" si="5"/>
        <v>Unit of measurement</v>
      </c>
      <c r="C292" t="s">
        <v>194</v>
      </c>
      <c r="D292" s="55" t="s">
        <v>6339</v>
      </c>
      <c r="E292" s="55" t="s">
        <v>6340</v>
      </c>
      <c r="F292" s="55" t="s">
        <v>6341</v>
      </c>
      <c r="G292" s="55" t="s">
        <v>6342</v>
      </c>
    </row>
    <row r="293" spans="1:7" x14ac:dyDescent="0.25">
      <c r="A293" t="s">
        <v>6343</v>
      </c>
      <c r="B293" s="305" t="str">
        <f t="shared" si="5"/>
        <v>Waste diverted to recycle or reuse</v>
      </c>
      <c r="C293" t="s">
        <v>6344</v>
      </c>
      <c r="D293" s="55" t="s">
        <v>6345</v>
      </c>
      <c r="E293" s="55" t="s">
        <v>6346</v>
      </c>
      <c r="F293" s="55" t="s">
        <v>6347</v>
      </c>
      <c r="G293" s="55" t="s">
        <v>6348</v>
      </c>
    </row>
    <row r="294" spans="1:7" x14ac:dyDescent="0.25">
      <c r="A294" t="s">
        <v>6349</v>
      </c>
      <c r="B294" s="305" t="str">
        <f t="shared" si="5"/>
        <v>Waste directed to disposal</v>
      </c>
      <c r="C294" t="s">
        <v>6350</v>
      </c>
      <c r="D294" s="55" t="s">
        <v>6351</v>
      </c>
      <c r="E294" s="55" t="s">
        <v>6352</v>
      </c>
      <c r="F294" s="55" t="s">
        <v>6353</v>
      </c>
      <c r="G294" s="55" t="s">
        <v>6354</v>
      </c>
    </row>
    <row r="295" spans="1:7" x14ac:dyDescent="0.25">
      <c r="A295" t="s">
        <v>6355</v>
      </c>
      <c r="B295" s="305" t="str">
        <f t="shared" si="5"/>
        <v>Amount of waste recycled reused and directed to disposal</v>
      </c>
      <c r="C295" t="s">
        <v>6356</v>
      </c>
      <c r="D295" s="55" t="s">
        <v>6357</v>
      </c>
      <c r="E295" s="55" t="s">
        <v>6358</v>
      </c>
      <c r="F295" s="55" t="s">
        <v>6359</v>
      </c>
      <c r="G295" s="55" t="s">
        <v>6360</v>
      </c>
    </row>
    <row r="296" spans="1:7" x14ac:dyDescent="0.25">
      <c r="A296" t="s">
        <v>6361</v>
      </c>
      <c r="B296" s="305" t="str">
        <f t="shared" si="5"/>
        <v>Total Hazardous waste generated (mass)</v>
      </c>
      <c r="C296" t="s">
        <v>6362</v>
      </c>
      <c r="D296" s="55" t="s">
        <v>6363</v>
      </c>
      <c r="E296" s="55" t="s">
        <v>6364</v>
      </c>
      <c r="F296" s="55" t="s">
        <v>6365</v>
      </c>
      <c r="G296" s="55" t="s">
        <v>6366</v>
      </c>
    </row>
    <row r="297" spans="1:7" x14ac:dyDescent="0.25">
      <c r="A297" t="s">
        <v>6367</v>
      </c>
      <c r="B297" s="305" t="str">
        <f t="shared" si="5"/>
        <v>Total amount of waste generated</v>
      </c>
      <c r="C297" t="s">
        <v>6368</v>
      </c>
      <c r="D297" s="55" t="s">
        <v>6369</v>
      </c>
      <c r="E297" s="55" t="s">
        <v>6370</v>
      </c>
      <c r="F297" s="55" t="s">
        <v>6371</v>
      </c>
      <c r="G297" s="55" t="s">
        <v>6372</v>
      </c>
    </row>
    <row r="298" spans="1:7" x14ac:dyDescent="0.25">
      <c r="A298" t="s">
        <v>6373</v>
      </c>
      <c r="B298" s="305" t="str">
        <f t="shared" si="5"/>
        <v>Total Non-Hazardous waste generated (mass)</v>
      </c>
      <c r="C298" t="s">
        <v>6374</v>
      </c>
      <c r="D298" s="55" t="s">
        <v>6375</v>
      </c>
      <c r="E298" s="55" t="s">
        <v>6376</v>
      </c>
      <c r="F298" s="55" t="s">
        <v>6377</v>
      </c>
      <c r="G298" s="55" t="s">
        <v>6378</v>
      </c>
    </row>
    <row r="299" spans="1:7" x14ac:dyDescent="0.25">
      <c r="A299" t="s">
        <v>6379</v>
      </c>
      <c r="B299" s="305" t="str">
        <f t="shared" si="5"/>
        <v>Total waste generated (mass)</v>
      </c>
      <c r="C299" t="s">
        <v>6380</v>
      </c>
      <c r="D299" s="55" t="s">
        <v>6381</v>
      </c>
      <c r="E299" s="55" t="s">
        <v>6382</v>
      </c>
      <c r="F299" s="55" t="s">
        <v>6383</v>
      </c>
      <c r="G299" s="55" t="s">
        <v>6384</v>
      </c>
    </row>
    <row r="300" spans="1:7" x14ac:dyDescent="0.25">
      <c r="A300" t="s">
        <v>6385</v>
      </c>
      <c r="B300" s="305" t="str">
        <f t="shared" si="5"/>
        <v>Total Hazardous waste generated (volume)</v>
      </c>
      <c r="C300" t="s">
        <v>6386</v>
      </c>
      <c r="D300" s="55" t="s">
        <v>6387</v>
      </c>
      <c r="E300" s="55" t="s">
        <v>6388</v>
      </c>
      <c r="F300" s="55" t="s">
        <v>6389</v>
      </c>
      <c r="G300" s="55" t="s">
        <v>6390</v>
      </c>
    </row>
    <row r="301" spans="1:7" x14ac:dyDescent="0.25">
      <c r="A301" t="s">
        <v>6391</v>
      </c>
      <c r="B301" s="305" t="str">
        <f t="shared" si="5"/>
        <v>cubic meters (m³)</v>
      </c>
      <c r="C301" t="s">
        <v>6392</v>
      </c>
      <c r="D301" s="55" t="s">
        <v>6393</v>
      </c>
      <c r="E301" s="55" t="s">
        <v>6394</v>
      </c>
      <c r="F301" s="55" t="s">
        <v>6395</v>
      </c>
      <c r="G301" s="55" t="s">
        <v>6395</v>
      </c>
    </row>
    <row r="302" spans="1:7" x14ac:dyDescent="0.25">
      <c r="A302" t="s">
        <v>6396</v>
      </c>
      <c r="B302" s="305" t="str">
        <f t="shared" si="5"/>
        <v>Total Non-Hazardous waste generated (volume)</v>
      </c>
      <c r="C302" t="s">
        <v>6397</v>
      </c>
      <c r="D302" s="55" t="s">
        <v>6398</v>
      </c>
      <c r="E302" s="55" t="s">
        <v>6399</v>
      </c>
      <c r="F302" s="55" t="s">
        <v>6400</v>
      </c>
      <c r="G302" s="55" t="s">
        <v>6401</v>
      </c>
    </row>
    <row r="303" spans="1:7" s="9" customFormat="1" ht="15.75" thickBot="1" x14ac:dyDescent="0.3">
      <c r="A303" s="9" t="s">
        <v>6402</v>
      </c>
      <c r="B303" s="332" t="str">
        <f t="shared" si="5"/>
        <v>Total waste generated (volume)</v>
      </c>
      <c r="C303" s="9" t="s">
        <v>6403</v>
      </c>
      <c r="D303" s="306" t="s">
        <v>6404</v>
      </c>
      <c r="E303" s="306" t="s">
        <v>6405</v>
      </c>
      <c r="F303" s="306" t="s">
        <v>6406</v>
      </c>
      <c r="G303" s="306" t="s">
        <v>6407</v>
      </c>
    </row>
    <row r="304" spans="1:7" x14ac:dyDescent="0.25">
      <c r="A304" t="s">
        <v>6408</v>
      </c>
      <c r="B304" s="305" t="str">
        <f t="shared" si="5"/>
        <v>B7 – Annual mass-flow of relevant materials used</v>
      </c>
      <c r="C304" t="s">
        <v>6409</v>
      </c>
      <c r="D304" s="55" t="s">
        <v>6410</v>
      </c>
      <c r="E304" s="55" t="s">
        <v>6411</v>
      </c>
      <c r="F304" s="55" t="s">
        <v>6412</v>
      </c>
      <c r="G304" s="55" t="s">
        <v>6413</v>
      </c>
    </row>
    <row r="305" spans="1:7" ht="13.7" customHeight="1" x14ac:dyDescent="0.25">
      <c r="A305" t="s">
        <v>6414</v>
      </c>
      <c r="B305" s="305" t="str">
        <f t="shared" si="5"/>
        <v>Does the undertaking the undertaking operate in a sector using significant material flows (for example manufacturing construction packaging or others)?</v>
      </c>
      <c r="C305" t="s">
        <v>6415</v>
      </c>
      <c r="D305" s="55" t="s">
        <v>6416</v>
      </c>
      <c r="E305" s="55" t="s">
        <v>6417</v>
      </c>
      <c r="F305" s="55" t="s">
        <v>6418</v>
      </c>
      <c r="G305" s="55" t="s">
        <v>6419</v>
      </c>
    </row>
    <row r="306" spans="1:7" x14ac:dyDescent="0.25">
      <c r="A306" t="s">
        <v>6420</v>
      </c>
      <c r="B306" s="305" t="str">
        <f t="shared" si="5"/>
        <v>Name of the key material</v>
      </c>
      <c r="C306" t="s">
        <v>6421</v>
      </c>
      <c r="D306" s="55" t="s">
        <v>6422</v>
      </c>
      <c r="E306" s="55" t="s">
        <v>6423</v>
      </c>
      <c r="F306" s="55" t="s">
        <v>6424</v>
      </c>
      <c r="G306" s="55" t="s">
        <v>6425</v>
      </c>
    </row>
    <row r="307" spans="1:7" x14ac:dyDescent="0.25">
      <c r="A307" t="s">
        <v>6426</v>
      </c>
      <c r="B307" s="305" t="str">
        <f t="shared" si="5"/>
        <v>Mass Volume</v>
      </c>
      <c r="C307" t="s">
        <v>6427</v>
      </c>
      <c r="D307" s="55" t="s">
        <v>6428</v>
      </c>
      <c r="E307" s="55" t="s">
        <v>6429</v>
      </c>
      <c r="F307" s="55" t="s">
        <v>6430</v>
      </c>
      <c r="G307" s="55" t="s">
        <v>6431</v>
      </c>
    </row>
    <row r="308" spans="1:7" x14ac:dyDescent="0.25">
      <c r="A308" t="s">
        <v>6432</v>
      </c>
      <c r="B308" s="305" t="str">
        <f t="shared" si="5"/>
        <v>Total annual mass-flow of relevant materials used (mass in kg)</v>
      </c>
      <c r="C308" t="s">
        <v>6433</v>
      </c>
      <c r="D308" s="55" t="s">
        <v>6434</v>
      </c>
      <c r="E308" s="55" t="s">
        <v>6435</v>
      </c>
      <c r="F308" s="55" t="s">
        <v>6436</v>
      </c>
      <c r="G308" s="55" t="s">
        <v>6437</v>
      </c>
    </row>
    <row r="309" spans="1:7" x14ac:dyDescent="0.25">
      <c r="A309" t="s">
        <v>6438</v>
      </c>
      <c r="B309" s="305" t="str">
        <f t="shared" si="5"/>
        <v>kilograms (kg)</v>
      </c>
      <c r="C309" t="s">
        <v>145</v>
      </c>
      <c r="D309" s="55" t="s">
        <v>6439</v>
      </c>
      <c r="E309" s="55" t="s">
        <v>6440</v>
      </c>
      <c r="F309" s="55" t="s">
        <v>6441</v>
      </c>
      <c r="G309" s="55" t="s">
        <v>6442</v>
      </c>
    </row>
    <row r="310" spans="1:7" s="9" customFormat="1" ht="15.75" thickBot="1" x14ac:dyDescent="0.3">
      <c r="A310" s="9" t="s">
        <v>6443</v>
      </c>
      <c r="B310" s="332" t="str">
        <f t="shared" si="5"/>
        <v>Total annual mass-flow of relevant materials used (volume in m³)</v>
      </c>
      <c r="C310" s="9" t="s">
        <v>6444</v>
      </c>
      <c r="D310" s="306" t="s">
        <v>6445</v>
      </c>
      <c r="E310" s="306" t="s">
        <v>6446</v>
      </c>
      <c r="F310" s="306" t="s">
        <v>6447</v>
      </c>
      <c r="G310" s="306" t="s">
        <v>6448</v>
      </c>
    </row>
    <row r="311" spans="1:7" x14ac:dyDescent="0.25">
      <c r="A311" t="s">
        <v>6449</v>
      </c>
      <c r="B311" s="305" t="str">
        <f t="shared" si="5"/>
        <v>C4 – Climate risks</v>
      </c>
      <c r="C311" t="s">
        <v>431</v>
      </c>
      <c r="D311" s="55" t="s">
        <v>6450</v>
      </c>
      <c r="E311" s="55" t="s">
        <v>6451</v>
      </c>
      <c r="F311" s="55" t="s">
        <v>6452</v>
      </c>
      <c r="G311" s="55" t="s">
        <v>6453</v>
      </c>
    </row>
    <row r="312" spans="1:7" x14ac:dyDescent="0.25">
      <c r="A312" t="s">
        <v>6454</v>
      </c>
      <c r="B312" s="305" t="str">
        <f t="shared" si="5"/>
        <v>Has the undertaking identified climate-related hazards and climate-related transition events creating gross climate-related risks for the undertaking?</v>
      </c>
      <c r="C312" t="s">
        <v>6455</v>
      </c>
      <c r="D312" s="55" t="s">
        <v>6456</v>
      </c>
      <c r="E312" s="55" t="s">
        <v>6457</v>
      </c>
      <c r="F312" s="55" t="s">
        <v>6458</v>
      </c>
      <c r="G312" s="55" t="s">
        <v>6459</v>
      </c>
    </row>
    <row r="313" spans="1:7" x14ac:dyDescent="0.25">
      <c r="A313" t="s">
        <v>6460</v>
      </c>
      <c r="B313" s="305" t="str">
        <f t="shared" si="5"/>
        <v>Description of climate-related hazards and climate-related transition events</v>
      </c>
      <c r="C313" t="s">
        <v>6461</v>
      </c>
      <c r="D313" s="55" t="s">
        <v>6462</v>
      </c>
      <c r="E313" s="55" t="s">
        <v>6463</v>
      </c>
      <c r="F313" s="55" t="s">
        <v>6464</v>
      </c>
      <c r="G313" s="55" t="s">
        <v>6465</v>
      </c>
    </row>
    <row r="314" spans="1:7" x14ac:dyDescent="0.25">
      <c r="A314" t="s">
        <v>6466</v>
      </c>
      <c r="B314" s="305" t="str">
        <f t="shared" si="5"/>
        <v>Disclosure of how it has assessed the exposure and sensitivity of its assets activities and value chain to these hazards and transition events</v>
      </c>
      <c r="C314" t="s">
        <v>6467</v>
      </c>
      <c r="D314" s="55" t="s">
        <v>6468</v>
      </c>
      <c r="E314" s="55" t="s">
        <v>6469</v>
      </c>
      <c r="F314" s="55" t="s">
        <v>6470</v>
      </c>
      <c r="G314" s="55" t="s">
        <v>6471</v>
      </c>
    </row>
    <row r="315" spans="1:7" x14ac:dyDescent="0.25">
      <c r="A315" t="s">
        <v>6472</v>
      </c>
      <c r="B315" s="305" t="str">
        <f t="shared" si="5"/>
        <v>Time horizons of any climate-related hazards and transition events identified</v>
      </c>
      <c r="C315" t="s">
        <v>6473</v>
      </c>
      <c r="D315" s="55" t="s">
        <v>6474</v>
      </c>
      <c r="E315" s="55" t="s">
        <v>6475</v>
      </c>
      <c r="F315" s="55" t="s">
        <v>6476</v>
      </c>
      <c r="G315" s="55" t="s">
        <v>6477</v>
      </c>
    </row>
    <row r="316" spans="1:7" x14ac:dyDescent="0.25">
      <c r="A316" t="s">
        <v>6478</v>
      </c>
      <c r="B316" s="305" t="str">
        <f t="shared" si="5"/>
        <v>Disclosure of whether it has undertaken climate change adaptation actions for any climate-related hazards and transition events</v>
      </c>
      <c r="C316" t="s">
        <v>6479</v>
      </c>
      <c r="D316" s="55" t="s">
        <v>6480</v>
      </c>
      <c r="E316" s="55" t="s">
        <v>6481</v>
      </c>
      <c r="F316" s="55" t="s">
        <v>6482</v>
      </c>
      <c r="G316" s="55" t="s">
        <v>6483</v>
      </c>
    </row>
    <row r="317" spans="1:7" x14ac:dyDescent="0.25">
      <c r="A317" t="s">
        <v>6484</v>
      </c>
      <c r="B317" s="305" t="str">
        <f t="shared" si="5"/>
        <v>Potential adverse effects of climate risks that may affect its financial performance or business operations in the short- medium- or long-term indicating whether it assesses the risks to be high medium or low</v>
      </c>
      <c r="C317" t="s">
        <v>6485</v>
      </c>
      <c r="D317" s="55" t="s">
        <v>6486</v>
      </c>
      <c r="E317" s="55" t="s">
        <v>6487</v>
      </c>
      <c r="F317" s="55" t="s">
        <v>6488</v>
      </c>
      <c r="G317" s="55" t="s">
        <v>6489</v>
      </c>
    </row>
    <row r="318" spans="1:7" s="9" customFormat="1" ht="15.75" thickBot="1" x14ac:dyDescent="0.3">
      <c r="A318" s="9" t="s">
        <v>6490</v>
      </c>
      <c r="B318" s="332" t="str">
        <f t="shared" si="5"/>
        <v>Disclosure of any other environmental and or entity specific environmental disclosures</v>
      </c>
      <c r="C318" s="9" t="s">
        <v>6491</v>
      </c>
      <c r="D318" s="306" t="s">
        <v>6492</v>
      </c>
      <c r="E318" s="306" t="s">
        <v>6493</v>
      </c>
      <c r="F318" s="306" t="s">
        <v>6494</v>
      </c>
      <c r="G318" s="306" t="s">
        <v>5294</v>
      </c>
    </row>
    <row r="319" spans="1:7" x14ac:dyDescent="0.25">
      <c r="A319" t="s">
        <v>6495</v>
      </c>
      <c r="B319" s="305" t="str">
        <f t="shared" si="5"/>
        <v>Employee counting methodology for the disclosures below (Headcount or Full time Equivalent linked from B1</v>
      </c>
      <c r="C319" t="s">
        <v>6496</v>
      </c>
      <c r="D319" s="55" t="s">
        <v>6497</v>
      </c>
      <c r="E319" s="55" t="s">
        <v>6498</v>
      </c>
      <c r="F319" s="55" t="s">
        <v>6499</v>
      </c>
      <c r="G319" s="55" t="s">
        <v>6500</v>
      </c>
    </row>
    <row r="320" spans="1:7" s="9" customFormat="1" ht="15.75" thickBot="1" x14ac:dyDescent="0.3">
      <c r="A320" s="9" t="s">
        <v>6501</v>
      </c>
      <c r="B320" s="332" t="str">
        <f t="shared" si="5"/>
        <v>Employee counting methodology for the disclosures below (At the end of the reporting period or as an average across the reporting period linked from B1)</v>
      </c>
      <c r="C320" s="9" t="s">
        <v>6502</v>
      </c>
      <c r="D320" s="306" t="s">
        <v>6503</v>
      </c>
      <c r="E320" s="306" t="s">
        <v>6504</v>
      </c>
      <c r="F320" s="306" t="s">
        <v>6505</v>
      </c>
      <c r="G320" s="306" t="s">
        <v>6506</v>
      </c>
    </row>
    <row r="321" spans="1:7" x14ac:dyDescent="0.25">
      <c r="A321" t="s">
        <v>6507</v>
      </c>
      <c r="B321" s="305" t="str">
        <f t="shared" si="5"/>
        <v>B8 – Workforce – General characteristics - Type of contract</v>
      </c>
      <c r="C321" t="s">
        <v>6508</v>
      </c>
      <c r="D321" s="55" t="s">
        <v>6509</v>
      </c>
      <c r="E321" s="55" t="s">
        <v>6510</v>
      </c>
      <c r="F321" s="55" t="s">
        <v>6511</v>
      </c>
      <c r="G321" s="55" t="s">
        <v>6512</v>
      </c>
    </row>
    <row r="322" spans="1:7" x14ac:dyDescent="0.25">
      <c r="A322" t="s">
        <v>6513</v>
      </c>
      <c r="B322" s="305" t="str">
        <f t="shared" si="5"/>
        <v>Type of contract</v>
      </c>
      <c r="C322" t="s">
        <v>5145</v>
      </c>
      <c r="D322" s="55" t="s">
        <v>5146</v>
      </c>
      <c r="E322" s="55" t="s">
        <v>5147</v>
      </c>
      <c r="F322" s="55" t="s">
        <v>5148</v>
      </c>
      <c r="G322" s="55" t="s">
        <v>5148</v>
      </c>
    </row>
    <row r="323" spans="1:7" x14ac:dyDescent="0.25">
      <c r="A323" t="s">
        <v>6514</v>
      </c>
      <c r="B323" s="305" t="str">
        <f t="shared" si="5"/>
        <v>Permanent contract</v>
      </c>
      <c r="C323" t="s">
        <v>6515</v>
      </c>
      <c r="D323" s="55" t="s">
        <v>6516</v>
      </c>
      <c r="E323" s="55" t="s">
        <v>6517</v>
      </c>
      <c r="F323" s="55" t="s">
        <v>6518</v>
      </c>
      <c r="G323" s="55" t="s">
        <v>6519</v>
      </c>
    </row>
    <row r="324" spans="1:7" x14ac:dyDescent="0.25">
      <c r="A324" t="s">
        <v>6520</v>
      </c>
      <c r="B324" s="305" t="str">
        <f t="shared" ref="B324:B387" si="6">INDEX(C324:G324,MATCH(template_selected_display_language,$C$3:$G$3,0))</f>
        <v>Temporary contract</v>
      </c>
      <c r="C324" t="s">
        <v>6521</v>
      </c>
      <c r="D324" s="55" t="s">
        <v>6522</v>
      </c>
      <c r="E324" s="55" t="s">
        <v>6523</v>
      </c>
      <c r="F324" s="55" t="s">
        <v>6524</v>
      </c>
      <c r="G324" s="55" t="s">
        <v>6525</v>
      </c>
    </row>
    <row r="325" spans="1:7" s="9" customFormat="1" ht="15.75" thickBot="1" x14ac:dyDescent="0.3">
      <c r="A325" s="9" t="s">
        <v>6526</v>
      </c>
      <c r="B325" s="332" t="str">
        <f t="shared" si="6"/>
        <v>Total employees (linked to B1)</v>
      </c>
      <c r="C325" s="9" t="s">
        <v>6527</v>
      </c>
      <c r="D325" s="306" t="s">
        <v>6528</v>
      </c>
      <c r="E325" s="306" t="s">
        <v>6529</v>
      </c>
      <c r="F325" s="306" t="s">
        <v>6530</v>
      </c>
      <c r="G325" s="306" t="s">
        <v>6531</v>
      </c>
    </row>
    <row r="326" spans="1:7" x14ac:dyDescent="0.25">
      <c r="A326" t="s">
        <v>6532</v>
      </c>
      <c r="B326" s="305" t="str">
        <f t="shared" si="6"/>
        <v>B8 – Workforce – General characteristics - Gender</v>
      </c>
      <c r="C326" t="s">
        <v>6533</v>
      </c>
      <c r="D326" s="55" t="s">
        <v>6534</v>
      </c>
      <c r="E326" s="55" t="s">
        <v>6535</v>
      </c>
      <c r="F326" s="55" t="s">
        <v>6536</v>
      </c>
      <c r="G326" s="55" t="s">
        <v>6537</v>
      </c>
    </row>
    <row r="327" spans="1:7" x14ac:dyDescent="0.25">
      <c r="A327" t="s">
        <v>6538</v>
      </c>
      <c r="B327" s="305" t="str">
        <f t="shared" si="6"/>
        <v>Gender</v>
      </c>
      <c r="C327" t="s">
        <v>5150</v>
      </c>
      <c r="D327" s="55" t="s">
        <v>5151</v>
      </c>
      <c r="E327" s="55" t="s">
        <v>5152</v>
      </c>
      <c r="F327" s="55" t="s">
        <v>5153</v>
      </c>
      <c r="G327" s="55" t="s">
        <v>5153</v>
      </c>
    </row>
    <row r="328" spans="1:7" x14ac:dyDescent="0.25">
      <c r="A328" t="s">
        <v>6539</v>
      </c>
      <c r="B328" s="305" t="str">
        <f t="shared" si="6"/>
        <v>Male</v>
      </c>
      <c r="C328" t="s">
        <v>6540</v>
      </c>
      <c r="D328" s="55" t="s">
        <v>6541</v>
      </c>
      <c r="E328" s="55" t="s">
        <v>6542</v>
      </c>
      <c r="F328" s="55" t="s">
        <v>6543</v>
      </c>
      <c r="G328" s="55" t="s">
        <v>6543</v>
      </c>
    </row>
    <row r="329" spans="1:7" x14ac:dyDescent="0.25">
      <c r="A329" t="s">
        <v>6544</v>
      </c>
      <c r="B329" s="305" t="str">
        <f t="shared" si="6"/>
        <v>Female</v>
      </c>
      <c r="C329" t="s">
        <v>6545</v>
      </c>
      <c r="D329" s="55" t="s">
        <v>6546</v>
      </c>
      <c r="E329" s="55" t="s">
        <v>6547</v>
      </c>
      <c r="F329" s="55" t="s">
        <v>6548</v>
      </c>
      <c r="G329" s="55" t="s">
        <v>6549</v>
      </c>
    </row>
    <row r="330" spans="1:7" x14ac:dyDescent="0.25">
      <c r="A330" t="s">
        <v>6550</v>
      </c>
      <c r="B330" s="305" t="str">
        <f t="shared" si="6"/>
        <v>Other</v>
      </c>
      <c r="C330" t="s">
        <v>149</v>
      </c>
      <c r="D330" s="55" t="s">
        <v>6551</v>
      </c>
      <c r="E330" s="55" t="s">
        <v>6552</v>
      </c>
      <c r="F330" s="55" t="s">
        <v>6553</v>
      </c>
      <c r="G330" s="55" t="s">
        <v>6554</v>
      </c>
    </row>
    <row r="331" spans="1:7" s="9" customFormat="1" ht="15.75" thickBot="1" x14ac:dyDescent="0.3">
      <c r="A331" s="9" t="s">
        <v>6555</v>
      </c>
      <c r="B331" s="332" t="str">
        <f t="shared" si="6"/>
        <v>Not reported</v>
      </c>
      <c r="C331" s="9" t="s">
        <v>6556</v>
      </c>
      <c r="D331" s="306" t="s">
        <v>6557</v>
      </c>
      <c r="E331" s="306" t="s">
        <v>6558</v>
      </c>
      <c r="F331" s="306" t="s">
        <v>6559</v>
      </c>
      <c r="G331" s="306" t="s">
        <v>6560</v>
      </c>
    </row>
    <row r="332" spans="1:7" x14ac:dyDescent="0.25">
      <c r="A332" t="s">
        <v>6561</v>
      </c>
      <c r="B332" s="305" t="str">
        <f t="shared" si="6"/>
        <v>B8 – Workforce – General characteristics - Country of employment</v>
      </c>
      <c r="C332" t="s">
        <v>6562</v>
      </c>
      <c r="D332" s="55" t="s">
        <v>6563</v>
      </c>
      <c r="E332" s="55" t="s">
        <v>6564</v>
      </c>
      <c r="F332" s="55" t="s">
        <v>6565</v>
      </c>
      <c r="G332" s="55" t="s">
        <v>6566</v>
      </c>
    </row>
    <row r="333" spans="1:7" x14ac:dyDescent="0.25">
      <c r="A333" t="s">
        <v>6567</v>
      </c>
      <c r="B333" s="305" t="str">
        <f t="shared" si="6"/>
        <v>Country of employment contract</v>
      </c>
      <c r="C333" t="s">
        <v>6568</v>
      </c>
      <c r="D333" s="55" t="s">
        <v>6569</v>
      </c>
      <c r="E333" s="55" t="s">
        <v>6570</v>
      </c>
      <c r="F333" s="55" t="s">
        <v>6571</v>
      </c>
      <c r="G333" s="55" t="s">
        <v>6572</v>
      </c>
    </row>
    <row r="334" spans="1:7" s="9" customFormat="1" ht="15.75" thickBot="1" x14ac:dyDescent="0.3">
      <c r="A334" s="9" t="s">
        <v>6573</v>
      </c>
      <c r="B334" s="332" t="str">
        <f t="shared" si="6"/>
        <v>Does the undertaking operate in more than one country?</v>
      </c>
      <c r="C334" s="9" t="s">
        <v>6574</v>
      </c>
      <c r="D334" s="306" t="s">
        <v>6575</v>
      </c>
      <c r="E334" s="306" t="s">
        <v>6576</v>
      </c>
      <c r="F334" s="306" t="s">
        <v>6577</v>
      </c>
      <c r="G334" s="306" t="s">
        <v>6578</v>
      </c>
    </row>
    <row r="335" spans="1:7" x14ac:dyDescent="0.25">
      <c r="A335" t="s">
        <v>6579</v>
      </c>
      <c r="B335" s="305" t="str">
        <f t="shared" si="6"/>
        <v>B8 – Workforce – General characteristics - Turnover rate</v>
      </c>
      <c r="C335" t="s">
        <v>6580</v>
      </c>
      <c r="D335" s="55" t="s">
        <v>6581</v>
      </c>
      <c r="E335" s="55" t="s">
        <v>6582</v>
      </c>
      <c r="F335" s="55" t="s">
        <v>6583</v>
      </c>
      <c r="G335" s="55" t="s">
        <v>6584</v>
      </c>
    </row>
    <row r="336" spans="1:7" x14ac:dyDescent="0.25">
      <c r="A336" t="s">
        <v>6585</v>
      </c>
      <c r="B336" s="305" t="str">
        <f t="shared" si="6"/>
        <v>Number of employees who left during the reporting period</v>
      </c>
      <c r="C336" t="s">
        <v>6586</v>
      </c>
      <c r="D336" s="55" t="s">
        <v>6587</v>
      </c>
      <c r="E336" s="55" t="s">
        <v>6588</v>
      </c>
      <c r="F336" s="55" t="s">
        <v>6589</v>
      </c>
      <c r="G336" s="55" t="s">
        <v>6590</v>
      </c>
    </row>
    <row r="337" spans="1:7" x14ac:dyDescent="0.25">
      <c r="A337" t="s">
        <v>6591</v>
      </c>
      <c r="B337" s="305" t="str">
        <f t="shared" si="6"/>
        <v>Number of employees at the beginning of the reporting period</v>
      </c>
      <c r="C337" t="s">
        <v>6592</v>
      </c>
      <c r="D337" s="55" t="s">
        <v>6593</v>
      </c>
      <c r="E337" s="55" t="s">
        <v>6594</v>
      </c>
      <c r="F337" s="55" t="s">
        <v>6595</v>
      </c>
      <c r="G337" s="55" t="s">
        <v>6596</v>
      </c>
    </row>
    <row r="338" spans="1:7" x14ac:dyDescent="0.25">
      <c r="A338" t="s">
        <v>6597</v>
      </c>
      <c r="B338" s="305" t="str">
        <f t="shared" si="6"/>
        <v>Number of employees at the end of the reporting period</v>
      </c>
      <c r="C338" t="s">
        <v>6598</v>
      </c>
      <c r="D338" s="55" t="s">
        <v>6599</v>
      </c>
      <c r="E338" s="55" t="s">
        <v>6600</v>
      </c>
      <c r="F338" s="55" t="s">
        <v>6601</v>
      </c>
      <c r="G338" s="55" t="s">
        <v>6602</v>
      </c>
    </row>
    <row r="339" spans="1:7" s="9" customFormat="1" ht="15.75" thickBot="1" x14ac:dyDescent="0.3">
      <c r="A339" s="9" t="s">
        <v>6603</v>
      </c>
      <c r="B339" s="332" t="str">
        <f t="shared" si="6"/>
        <v>Employee turnover rate [%]  in the reporting period</v>
      </c>
      <c r="C339" s="9" t="s">
        <v>6604</v>
      </c>
      <c r="D339" s="306" t="s">
        <v>6605</v>
      </c>
      <c r="E339" s="306" t="s">
        <v>6606</v>
      </c>
      <c r="F339" s="306" t="s">
        <v>6607</v>
      </c>
      <c r="G339" s="306" t="s">
        <v>6608</v>
      </c>
    </row>
    <row r="340" spans="1:7" x14ac:dyDescent="0.25">
      <c r="A340" t="s">
        <v>6609</v>
      </c>
      <c r="B340" s="305" t="str">
        <f t="shared" si="6"/>
        <v>B9 – Workforce – Health and safety</v>
      </c>
      <c r="C340" t="s">
        <v>367</v>
      </c>
      <c r="D340" s="55" t="s">
        <v>6610</v>
      </c>
      <c r="E340" s="55" t="s">
        <v>6611</v>
      </c>
      <c r="F340" s="55" t="s">
        <v>6612</v>
      </c>
      <c r="G340" s="55" t="s">
        <v>6613</v>
      </c>
    </row>
    <row r="341" spans="1:7" x14ac:dyDescent="0.25">
      <c r="A341" t="s">
        <v>6614</v>
      </c>
      <c r="B341" s="305" t="str">
        <f t="shared" si="6"/>
        <v>Number of recordable work-related accidents in the reporting period</v>
      </c>
      <c r="C341" t="s">
        <v>6615</v>
      </c>
      <c r="D341" s="55" t="s">
        <v>6616</v>
      </c>
      <c r="E341" s="55" t="s">
        <v>6617</v>
      </c>
      <c r="F341" s="55" t="s">
        <v>6618</v>
      </c>
      <c r="G341" s="55" t="s">
        <v>6619</v>
      </c>
    </row>
    <row r="342" spans="1:7" x14ac:dyDescent="0.25">
      <c r="A342" t="s">
        <v>6620</v>
      </c>
      <c r="B342" s="305" t="str">
        <f t="shared" si="6"/>
        <v>Number of hours worked by  one full-time employee in the reporting period</v>
      </c>
      <c r="C342" t="s">
        <v>6621</v>
      </c>
      <c r="D342" s="55" t="s">
        <v>6622</v>
      </c>
      <c r="E342" s="55" t="s">
        <v>6623</v>
      </c>
      <c r="F342" s="55" t="s">
        <v>6624</v>
      </c>
      <c r="G342" s="55" t="s">
        <v>6625</v>
      </c>
    </row>
    <row r="343" spans="1:7" x14ac:dyDescent="0.25">
      <c r="A343" t="s">
        <v>6626</v>
      </c>
      <c r="B343" s="305" t="str">
        <f t="shared" si="6"/>
        <v>Total number of hours worked in a year by all employees in the reporting period</v>
      </c>
      <c r="C343" t="s">
        <v>6627</v>
      </c>
      <c r="D343" s="55" t="s">
        <v>6628</v>
      </c>
      <c r="E343" s="55" t="s">
        <v>6629</v>
      </c>
      <c r="F343" s="55" t="s">
        <v>6630</v>
      </c>
      <c r="G343" s="55" t="s">
        <v>6631</v>
      </c>
    </row>
    <row r="344" spans="1:7" x14ac:dyDescent="0.25">
      <c r="A344" t="s">
        <v>6632</v>
      </c>
      <c r="B344" s="305" t="str">
        <f t="shared" si="6"/>
        <v>Rate of recordable work-related accidents in the reporting period</v>
      </c>
      <c r="C344" t="s">
        <v>6633</v>
      </c>
      <c r="D344" s="55" t="s">
        <v>6634</v>
      </c>
      <c r="E344" s="55" t="s">
        <v>6635</v>
      </c>
      <c r="F344" s="55" t="s">
        <v>6636</v>
      </c>
      <c r="G344" s="55" t="s">
        <v>6637</v>
      </c>
    </row>
    <row r="345" spans="1:7" s="9" customFormat="1" ht="15.75" thickBot="1" x14ac:dyDescent="0.3">
      <c r="A345" s="9" t="s">
        <v>6638</v>
      </c>
      <c r="B345" s="332" t="str">
        <f t="shared" si="6"/>
        <v>Number of fatalities as a result of work-related injuries and work-related ill health</v>
      </c>
      <c r="C345" s="9" t="s">
        <v>6639</v>
      </c>
      <c r="D345" s="306" t="s">
        <v>6640</v>
      </c>
      <c r="E345" s="306" t="s">
        <v>6641</v>
      </c>
      <c r="F345" s="306" t="s">
        <v>6642</v>
      </c>
      <c r="G345" s="306" t="s">
        <v>6643</v>
      </c>
    </row>
    <row r="346" spans="1:7" x14ac:dyDescent="0.25">
      <c r="A346" t="s">
        <v>6644</v>
      </c>
      <c r="B346" s="305" t="str">
        <f t="shared" si="6"/>
        <v>B10 – Workforce – Remuneration collective bargaining and training</v>
      </c>
      <c r="C346" t="s">
        <v>6645</v>
      </c>
      <c r="D346" s="55" t="s">
        <v>6646</v>
      </c>
      <c r="E346" s="55" t="s">
        <v>5175</v>
      </c>
      <c r="F346" s="55" t="s">
        <v>6647</v>
      </c>
      <c r="G346" s="55" t="s">
        <v>6648</v>
      </c>
    </row>
    <row r="347" spans="1:7" x14ac:dyDescent="0.25">
      <c r="A347" t="s">
        <v>6649</v>
      </c>
      <c r="B347" s="305" t="str">
        <f t="shared" si="6"/>
        <v>Employees receive pay that is equal or above applicable minimum wage determined directly by the national minimum wage law or through a collective bargaining agreement</v>
      </c>
      <c r="C347" t="s">
        <v>6650</v>
      </c>
      <c r="D347" s="55" t="s">
        <v>6651</v>
      </c>
      <c r="E347" s="55" t="s">
        <v>6652</v>
      </c>
      <c r="F347" s="55" t="s">
        <v>6653</v>
      </c>
      <c r="G347" s="55" t="s">
        <v>6654</v>
      </c>
    </row>
    <row r="348" spans="1:7" x14ac:dyDescent="0.25">
      <c r="A348" t="s">
        <v>6655</v>
      </c>
      <c r="B348" s="305" t="str">
        <f t="shared" si="6"/>
        <v>Average gross hourly pay level of male employees</v>
      </c>
      <c r="C348" t="s">
        <v>6656</v>
      </c>
      <c r="D348" s="55" t="s">
        <v>6657</v>
      </c>
      <c r="E348" s="55" t="s">
        <v>6658</v>
      </c>
      <c r="F348" s="55" t="s">
        <v>6659</v>
      </c>
      <c r="G348" s="55" t="s">
        <v>6660</v>
      </c>
    </row>
    <row r="349" spans="1:7" x14ac:dyDescent="0.25">
      <c r="A349" t="s">
        <v>6661</v>
      </c>
      <c r="B349" s="305" t="str">
        <f t="shared" si="6"/>
        <v>Average gross hourly pay level of female employees</v>
      </c>
      <c r="C349" t="s">
        <v>6662</v>
      </c>
      <c r="D349" s="55" t="s">
        <v>6663</v>
      </c>
      <c r="E349" s="55" t="s">
        <v>6664</v>
      </c>
      <c r="F349" s="55" t="s">
        <v>6665</v>
      </c>
      <c r="G349" s="55" t="s">
        <v>6666</v>
      </c>
    </row>
    <row r="350" spans="1:7" x14ac:dyDescent="0.25">
      <c r="A350" t="s">
        <v>6667</v>
      </c>
      <c r="B350" s="305" t="str">
        <f t="shared" si="6"/>
        <v>Percentage gap in pay between the  undertaking's female and male employees [%]</v>
      </c>
      <c r="C350" t="s">
        <v>6668</v>
      </c>
      <c r="D350" s="55" t="s">
        <v>6669</v>
      </c>
      <c r="E350" s="55" t="s">
        <v>6670</v>
      </c>
      <c r="F350" s="55" t="s">
        <v>6671</v>
      </c>
      <c r="G350" s="55" t="s">
        <v>6672</v>
      </c>
    </row>
    <row r="351" spans="1:7" x14ac:dyDescent="0.25">
      <c r="A351" t="s">
        <v>6673</v>
      </c>
      <c r="B351" s="305" t="str">
        <f t="shared" si="6"/>
        <v>Number of employees covered by collective bargaining agreements</v>
      </c>
      <c r="C351" t="s">
        <v>6674</v>
      </c>
      <c r="D351" s="55" t="s">
        <v>6675</v>
      </c>
      <c r="E351" s="55" t="s">
        <v>6676</v>
      </c>
      <c r="F351" s="55" t="s">
        <v>6677</v>
      </c>
      <c r="G351" s="55" t="s">
        <v>6678</v>
      </c>
    </row>
    <row r="352" spans="1:7" s="9" customFormat="1" ht="15.75" thickBot="1" x14ac:dyDescent="0.3">
      <c r="A352" s="9" t="s">
        <v>6679</v>
      </c>
      <c r="B352" s="332" t="str">
        <f t="shared" si="6"/>
        <v>Percentage of employees covered by collective bargaining agreements [%]</v>
      </c>
      <c r="C352" s="9" t="s">
        <v>6680</v>
      </c>
      <c r="D352" s="306" t="s">
        <v>6681</v>
      </c>
      <c r="E352" s="306" t="s">
        <v>6682</v>
      </c>
      <c r="F352" s="306" t="s">
        <v>6683</v>
      </c>
      <c r="G352" s="306" t="s">
        <v>6684</v>
      </c>
    </row>
    <row r="353" spans="1:7" x14ac:dyDescent="0.25">
      <c r="A353" t="s">
        <v>6685</v>
      </c>
      <c r="B353" s="305" t="str">
        <f t="shared" si="6"/>
        <v>Number of annual training hours per employee during the reporting period</v>
      </c>
      <c r="C353" t="s">
        <v>6686</v>
      </c>
      <c r="D353" s="55" t="s">
        <v>6687</v>
      </c>
      <c r="E353" s="55" t="s">
        <v>6688</v>
      </c>
      <c r="F353" s="55" t="s">
        <v>6689</v>
      </c>
      <c r="G353" s="55" t="s">
        <v>6690</v>
      </c>
    </row>
    <row r="354" spans="1:7" s="9" customFormat="1" ht="15.75" thickBot="1" x14ac:dyDescent="0.3">
      <c r="A354" s="9" t="s">
        <v>6691</v>
      </c>
      <c r="B354" s="332" t="str">
        <f t="shared" si="6"/>
        <v>Average number of annual training hours per employee</v>
      </c>
      <c r="C354" s="9" t="s">
        <v>6692</v>
      </c>
      <c r="D354" s="306" t="s">
        <v>6693</v>
      </c>
      <c r="E354" s="306" t="s">
        <v>6694</v>
      </c>
      <c r="F354" s="306" t="s">
        <v>6695</v>
      </c>
      <c r="G354" s="306" t="s">
        <v>6696</v>
      </c>
    </row>
    <row r="355" spans="1:7" x14ac:dyDescent="0.25">
      <c r="A355" t="s">
        <v>6697</v>
      </c>
      <c r="B355" s="305" t="str">
        <f t="shared" si="6"/>
        <v>C5 – Additional (general) workforce characteristics</v>
      </c>
      <c r="C355" t="s">
        <v>441</v>
      </c>
      <c r="D355" s="55" t="s">
        <v>6698</v>
      </c>
      <c r="E355" s="55" t="s">
        <v>5238</v>
      </c>
      <c r="F355" s="55" t="s">
        <v>6699</v>
      </c>
      <c r="G355" s="55" t="s">
        <v>5240</v>
      </c>
    </row>
    <row r="356" spans="1:7" x14ac:dyDescent="0.25">
      <c r="A356" t="s">
        <v>6700</v>
      </c>
      <c r="B356" s="305" t="str">
        <f t="shared" si="6"/>
        <v>Number of male employees at management level</v>
      </c>
      <c r="C356" t="s">
        <v>6701</v>
      </c>
      <c r="D356" s="55" t="s">
        <v>6702</v>
      </c>
      <c r="E356" s="55" t="s">
        <v>6703</v>
      </c>
      <c r="F356" s="55" t="s">
        <v>6704</v>
      </c>
      <c r="G356" s="55" t="s">
        <v>6705</v>
      </c>
    </row>
    <row r="357" spans="1:7" x14ac:dyDescent="0.25">
      <c r="A357" t="s">
        <v>6706</v>
      </c>
      <c r="B357" s="305" t="str">
        <f t="shared" si="6"/>
        <v>Number of female employees at management level</v>
      </c>
      <c r="C357" t="s">
        <v>6707</v>
      </c>
      <c r="D357" s="55" t="s">
        <v>6708</v>
      </c>
      <c r="E357" s="55" t="s">
        <v>6709</v>
      </c>
      <c r="F357" s="55" t="s">
        <v>6710</v>
      </c>
      <c r="G357" s="55" t="s">
        <v>6711</v>
      </c>
    </row>
    <row r="358" spans="1:7" x14ac:dyDescent="0.25">
      <c r="A358" t="s">
        <v>6712</v>
      </c>
      <c r="B358" s="305" t="str">
        <f t="shared" si="6"/>
        <v>Female-to-male ratio at management level for the reporting period</v>
      </c>
      <c r="C358" t="s">
        <v>6713</v>
      </c>
      <c r="D358" s="55" t="s">
        <v>6714</v>
      </c>
      <c r="E358" s="55" t="s">
        <v>6715</v>
      </c>
      <c r="F358" s="55" t="s">
        <v>6716</v>
      </c>
      <c r="G358" s="55" t="s">
        <v>6717</v>
      </c>
    </row>
    <row r="359" spans="1:7" x14ac:dyDescent="0.25">
      <c r="A359" t="s">
        <v>6718</v>
      </c>
      <c r="B359" s="305" t="str">
        <f t="shared" si="6"/>
        <v>Total self-employed workers without personnel that are working exclusively for the undertaking</v>
      </c>
      <c r="C359" t="s">
        <v>6719</v>
      </c>
      <c r="D359" s="55" t="s">
        <v>6720</v>
      </c>
      <c r="E359" s="55" t="s">
        <v>6721</v>
      </c>
      <c r="F359" s="55" t="s">
        <v>6722</v>
      </c>
      <c r="G359" s="55" t="s">
        <v>6723</v>
      </c>
    </row>
    <row r="360" spans="1:7" s="9" customFormat="1" ht="15.75" thickBot="1" x14ac:dyDescent="0.3">
      <c r="A360" s="9" t="s">
        <v>6724</v>
      </c>
      <c r="B360" s="332" t="str">
        <f t="shared" si="6"/>
        <v>Total temporary workers provided by undertakings primarily engaged in employment activities</v>
      </c>
      <c r="C360" s="9" t="s">
        <v>6725</v>
      </c>
      <c r="D360" s="306" t="s">
        <v>6726</v>
      </c>
      <c r="E360" s="306" t="s">
        <v>6727</v>
      </c>
      <c r="F360" s="306" t="s">
        <v>6728</v>
      </c>
      <c r="G360" s="306" t="s">
        <v>6729</v>
      </c>
    </row>
    <row r="361" spans="1:7" x14ac:dyDescent="0.25">
      <c r="A361" t="s">
        <v>6730</v>
      </c>
      <c r="B361" s="305" t="str">
        <f t="shared" si="6"/>
        <v>C6 – Additional own workforce information - Human rights policies and processes</v>
      </c>
      <c r="C361" t="s">
        <v>451</v>
      </c>
      <c r="D361" s="55" t="s">
        <v>6731</v>
      </c>
      <c r="E361" s="55" t="s">
        <v>5244</v>
      </c>
      <c r="F361" s="55" t="s">
        <v>6732</v>
      </c>
      <c r="G361" s="55" t="s">
        <v>5246</v>
      </c>
    </row>
    <row r="362" spans="1:7" x14ac:dyDescent="0.25">
      <c r="A362" t="s">
        <v>6733</v>
      </c>
      <c r="B362" s="305" t="str">
        <f t="shared" si="6"/>
        <v>Does the undertaking have a code of conduct or human rights policy for its own workforce?</v>
      </c>
      <c r="C362" t="s">
        <v>6734</v>
      </c>
      <c r="D362" s="55" t="s">
        <v>6735</v>
      </c>
      <c r="E362" s="55" t="s">
        <v>6736</v>
      </c>
      <c r="F362" s="55" t="s">
        <v>6737</v>
      </c>
      <c r="G362" s="55" t="s">
        <v>6738</v>
      </c>
    </row>
    <row r="363" spans="1:7" x14ac:dyDescent="0.25">
      <c r="A363" t="s">
        <v>6739</v>
      </c>
      <c r="B363" s="305" t="str">
        <f t="shared" si="6"/>
        <v>If yes does this cover:</v>
      </c>
      <c r="C363" t="s">
        <v>6740</v>
      </c>
      <c r="D363" s="55" t="s">
        <v>6741</v>
      </c>
      <c r="E363" s="55" t="s">
        <v>6742</v>
      </c>
      <c r="F363" s="55" t="s">
        <v>6743</v>
      </c>
      <c r="G363" s="55" t="s">
        <v>6744</v>
      </c>
    </row>
    <row r="364" spans="1:7" x14ac:dyDescent="0.25">
      <c r="A364" t="s">
        <v>6745</v>
      </c>
      <c r="B364" s="305" t="str">
        <f t="shared" si="6"/>
        <v>· child labour</v>
      </c>
      <c r="C364" t="s">
        <v>6746</v>
      </c>
      <c r="D364" s="55" t="s">
        <v>6747</v>
      </c>
      <c r="E364" s="55" t="s">
        <v>6748</v>
      </c>
      <c r="F364" s="55" t="s">
        <v>6749</v>
      </c>
      <c r="G364" s="55" t="s">
        <v>6750</v>
      </c>
    </row>
    <row r="365" spans="1:7" x14ac:dyDescent="0.25">
      <c r="A365" t="s">
        <v>6751</v>
      </c>
      <c r="B365" s="305" t="str">
        <f t="shared" si="6"/>
        <v>· forced labour</v>
      </c>
      <c r="C365" t="s">
        <v>6752</v>
      </c>
      <c r="D365" s="55" t="s">
        <v>6753</v>
      </c>
      <c r="E365" s="55" t="s">
        <v>6754</v>
      </c>
      <c r="F365" s="55" t="s">
        <v>6755</v>
      </c>
      <c r="G365" s="55" t="s">
        <v>6756</v>
      </c>
    </row>
    <row r="366" spans="1:7" x14ac:dyDescent="0.25">
      <c r="A366" t="s">
        <v>6757</v>
      </c>
      <c r="B366" s="305" t="str">
        <f t="shared" si="6"/>
        <v>· human trafficking</v>
      </c>
      <c r="C366" t="s">
        <v>6758</v>
      </c>
      <c r="D366" s="55" t="s">
        <v>6759</v>
      </c>
      <c r="E366" s="55" t="s">
        <v>6760</v>
      </c>
      <c r="F366" s="55" t="s">
        <v>6761</v>
      </c>
      <c r="G366" s="55" t="s">
        <v>6762</v>
      </c>
    </row>
    <row r="367" spans="1:7" x14ac:dyDescent="0.25">
      <c r="A367" t="s">
        <v>6763</v>
      </c>
      <c r="B367" s="305" t="str">
        <f t="shared" si="6"/>
        <v>· discrimination</v>
      </c>
      <c r="C367" t="s">
        <v>6764</v>
      </c>
      <c r="D367" s="55" t="s">
        <v>6765</v>
      </c>
      <c r="E367" s="55" t="s">
        <v>6766</v>
      </c>
      <c r="F367" s="55" t="s">
        <v>6767</v>
      </c>
      <c r="G367" s="55" t="s">
        <v>6768</v>
      </c>
    </row>
    <row r="368" spans="1:7" x14ac:dyDescent="0.25">
      <c r="A368" t="s">
        <v>6769</v>
      </c>
      <c r="B368" s="305" t="str">
        <f t="shared" si="6"/>
        <v>· accident prevention</v>
      </c>
      <c r="C368" t="s">
        <v>6770</v>
      </c>
      <c r="D368" s="55" t="s">
        <v>6771</v>
      </c>
      <c r="E368" s="55" t="s">
        <v>6772</v>
      </c>
      <c r="F368" s="55" t="s">
        <v>6773</v>
      </c>
      <c r="G368" s="55" t="s">
        <v>6774</v>
      </c>
    </row>
    <row r="369" spans="1:7" x14ac:dyDescent="0.25">
      <c r="A369" t="s">
        <v>6775</v>
      </c>
      <c r="B369" s="305" t="str">
        <f t="shared" si="6"/>
        <v>· other? ( if yes specify)</v>
      </c>
      <c r="C369" t="s">
        <v>6776</v>
      </c>
      <c r="D369" s="55" t="s">
        <v>6777</v>
      </c>
      <c r="E369" s="55" t="s">
        <v>6778</v>
      </c>
      <c r="F369" s="55" t="s">
        <v>6779</v>
      </c>
      <c r="G369" s="55" t="s">
        <v>6780</v>
      </c>
    </row>
    <row r="370" spans="1:7" x14ac:dyDescent="0.25">
      <c r="A370" t="s">
        <v>6781</v>
      </c>
      <c r="B370" s="305" t="str">
        <f t="shared" si="6"/>
        <v>Specify other types of content covered by the code of conduct or human rights policy</v>
      </c>
      <c r="C370" t="s">
        <v>6782</v>
      </c>
      <c r="D370" s="55" t="s">
        <v>6783</v>
      </c>
      <c r="E370" s="55" t="s">
        <v>6784</v>
      </c>
      <c r="F370" s="55" t="s">
        <v>6785</v>
      </c>
      <c r="G370" s="55" t="s">
        <v>6786</v>
      </c>
    </row>
    <row r="371" spans="1:7" s="9" customFormat="1" ht="15.75" thickBot="1" x14ac:dyDescent="0.3">
      <c r="A371" s="9" t="s">
        <v>6787</v>
      </c>
      <c r="B371" s="332" t="str">
        <f t="shared" si="6"/>
        <v>Does the undertaking have a complaint-handling mechanism for its own workforce?</v>
      </c>
      <c r="C371" s="9" t="s">
        <v>6788</v>
      </c>
      <c r="D371" s="306" t="s">
        <v>6789</v>
      </c>
      <c r="E371" s="306" t="s">
        <v>6790</v>
      </c>
      <c r="F371" s="306" t="s">
        <v>6791</v>
      </c>
      <c r="G371" s="306" t="s">
        <v>6792</v>
      </c>
    </row>
    <row r="372" spans="1:7" x14ac:dyDescent="0.25">
      <c r="A372" t="s">
        <v>6793</v>
      </c>
      <c r="B372" s="305" t="str">
        <f t="shared" si="6"/>
        <v>C7 – Severe negative human rights incidents</v>
      </c>
      <c r="C372" t="s">
        <v>461</v>
      </c>
      <c r="D372" s="55" t="s">
        <v>6794</v>
      </c>
      <c r="E372" s="55" t="s">
        <v>5250</v>
      </c>
      <c r="F372" s="55" t="s">
        <v>6795</v>
      </c>
      <c r="G372" s="55" t="s">
        <v>6796</v>
      </c>
    </row>
    <row r="373" spans="1:7" x14ac:dyDescent="0.25">
      <c r="A373" t="s">
        <v>6797</v>
      </c>
      <c r="B373" s="305" t="str">
        <f t="shared" si="6"/>
        <v>Does the undertaking have confirmed incidents in its own workforce?</v>
      </c>
      <c r="C373" t="s">
        <v>6798</v>
      </c>
      <c r="D373" s="55" t="s">
        <v>6799</v>
      </c>
      <c r="E373" s="55" t="s">
        <v>6800</v>
      </c>
      <c r="F373" s="55" t="s">
        <v>6801</v>
      </c>
      <c r="G373" s="55" t="s">
        <v>6802</v>
      </c>
    </row>
    <row r="374" spans="1:7" x14ac:dyDescent="0.25">
      <c r="A374" t="s">
        <v>6803</v>
      </c>
      <c r="B374" s="305" t="str">
        <f t="shared" si="6"/>
        <v>If yes are incidents related to:</v>
      </c>
      <c r="C374" t="s">
        <v>6804</v>
      </c>
      <c r="D374" s="55" t="s">
        <v>6805</v>
      </c>
      <c r="E374" s="55" t="s">
        <v>6806</v>
      </c>
      <c r="F374" s="55" t="s">
        <v>6807</v>
      </c>
      <c r="G374" s="55" t="s">
        <v>6808</v>
      </c>
    </row>
    <row r="375" spans="1:7" x14ac:dyDescent="0.25">
      <c r="A375" t="s">
        <v>6809</v>
      </c>
      <c r="B375" s="305" t="str">
        <f t="shared" si="6"/>
        <v>Specify other human rights related to the confirmed incidents</v>
      </c>
      <c r="C375" t="s">
        <v>6810</v>
      </c>
      <c r="D375" s="55" t="s">
        <v>6811</v>
      </c>
      <c r="E375" s="55" t="s">
        <v>6812</v>
      </c>
      <c r="F375" s="55" t="s">
        <v>6813</v>
      </c>
      <c r="G375" s="55" t="s">
        <v>6814</v>
      </c>
    </row>
    <row r="376" spans="1:7" x14ac:dyDescent="0.25">
      <c r="A376" t="s">
        <v>6815</v>
      </c>
      <c r="B376" s="305" t="str">
        <f t="shared" si="6"/>
        <v>Description of actions taken to address the confirmed incidents</v>
      </c>
      <c r="C376" t="s">
        <v>6816</v>
      </c>
      <c r="D376" s="55" t="s">
        <v>6817</v>
      </c>
      <c r="E376" s="55" t="s">
        <v>6818</v>
      </c>
      <c r="F376" s="55" t="s">
        <v>6819</v>
      </c>
      <c r="G376" s="55" t="s">
        <v>6820</v>
      </c>
    </row>
    <row r="377" spans="1:7" x14ac:dyDescent="0.25">
      <c r="A377" t="s">
        <v>6821</v>
      </c>
      <c r="B377" s="305" t="str">
        <f t="shared" si="6"/>
        <v>Is the undertaking aware of any confirmed incidents involving workers in the value chain affected communities consumers and end-users?</v>
      </c>
      <c r="C377" t="s">
        <v>6822</v>
      </c>
      <c r="D377" s="55" t="s">
        <v>6823</v>
      </c>
      <c r="E377" s="55" t="s">
        <v>6824</v>
      </c>
      <c r="F377" s="55" t="s">
        <v>6825</v>
      </c>
      <c r="G377" s="55" t="s">
        <v>6826</v>
      </c>
    </row>
    <row r="378" spans="1:7" s="9" customFormat="1" ht="15.75" thickBot="1" x14ac:dyDescent="0.3">
      <c r="A378" s="9" t="s">
        <v>6827</v>
      </c>
      <c r="B378" s="332" t="str">
        <f t="shared" si="6"/>
        <v>Specification of any confirmed incident involving workers in the value chain affected communities consumers and end-users</v>
      </c>
      <c r="C378" s="9" t="s">
        <v>6828</v>
      </c>
      <c r="D378" s="306" t="s">
        <v>6829</v>
      </c>
      <c r="E378" s="306" t="s">
        <v>6830</v>
      </c>
      <c r="F378" s="306" t="s">
        <v>6831</v>
      </c>
      <c r="G378" s="306" t="s">
        <v>6832</v>
      </c>
    </row>
    <row r="379" spans="1:7" s="85" customFormat="1" ht="15.75" thickBot="1" x14ac:dyDescent="0.3">
      <c r="A379" s="85" t="s">
        <v>6833</v>
      </c>
      <c r="B379" s="334" t="str">
        <f t="shared" si="6"/>
        <v>Disclosure of any other social and or entity specific social disclosures</v>
      </c>
      <c r="C379" s="85" t="s">
        <v>6834</v>
      </c>
      <c r="D379" s="335" t="s">
        <v>6835</v>
      </c>
      <c r="E379" s="335" t="s">
        <v>6836</v>
      </c>
      <c r="F379" s="335" t="s">
        <v>6837</v>
      </c>
      <c r="G379" s="335" t="s">
        <v>6838</v>
      </c>
    </row>
    <row r="380" spans="1:7" x14ac:dyDescent="0.25">
      <c r="A380" t="s">
        <v>6839</v>
      </c>
      <c r="B380" t="str">
        <f t="shared" si="6"/>
        <v>B11 – Convictions and fines for corruption and bribery</v>
      </c>
      <c r="C380" t="s">
        <v>390</v>
      </c>
      <c r="D380" s="55" t="s">
        <v>6840</v>
      </c>
      <c r="E380" s="55" t="s">
        <v>5187</v>
      </c>
      <c r="F380" s="55" t="s">
        <v>6841</v>
      </c>
      <c r="G380" s="55" t="s">
        <v>6842</v>
      </c>
    </row>
    <row r="381" spans="1:7" x14ac:dyDescent="0.25">
      <c r="A381" t="s">
        <v>6843</v>
      </c>
      <c r="B381" t="str">
        <f t="shared" si="6"/>
        <v>Has the undertaking incurred in convictions and fines in the reporting period?</v>
      </c>
      <c r="C381" t="s">
        <v>6844</v>
      </c>
      <c r="D381" s="55" t="s">
        <v>6845</v>
      </c>
      <c r="E381" s="55" t="s">
        <v>6846</v>
      </c>
      <c r="F381" s="55" t="s">
        <v>6847</v>
      </c>
      <c r="G381" s="55" t="s">
        <v>6848</v>
      </c>
    </row>
    <row r="382" spans="1:7" x14ac:dyDescent="0.25">
      <c r="A382" t="s">
        <v>6849</v>
      </c>
      <c r="B382" t="str">
        <f t="shared" si="6"/>
        <v>Total number of convictions  for the violation of anti-corruption and anti-bribery laws</v>
      </c>
      <c r="C382" t="s">
        <v>6850</v>
      </c>
      <c r="D382" s="55" t="s">
        <v>6851</v>
      </c>
      <c r="E382" s="55" t="s">
        <v>6852</v>
      </c>
      <c r="F382" s="55" t="s">
        <v>6853</v>
      </c>
      <c r="G382" s="55" t="s">
        <v>6854</v>
      </c>
    </row>
    <row r="383" spans="1:7" s="9" customFormat="1" ht="15.75" thickBot="1" x14ac:dyDescent="0.3">
      <c r="A383" s="9" t="s">
        <v>6855</v>
      </c>
      <c r="B383" s="9" t="str">
        <f t="shared" si="6"/>
        <v>Total amount of fines for the violation of anti-corruption and anti-bribery laws</v>
      </c>
      <c r="C383" s="9" t="s">
        <v>6856</v>
      </c>
      <c r="D383" s="306" t="s">
        <v>6857</v>
      </c>
      <c r="E383" s="306" t="s">
        <v>6858</v>
      </c>
      <c r="F383" s="306" t="s">
        <v>6859</v>
      </c>
      <c r="G383" s="306" t="s">
        <v>6860</v>
      </c>
    </row>
    <row r="384" spans="1:7" x14ac:dyDescent="0.25">
      <c r="A384" t="s">
        <v>6861</v>
      </c>
      <c r="B384" t="str">
        <f t="shared" si="6"/>
        <v>C8 – Revenues from certain activities</v>
      </c>
      <c r="C384" t="s">
        <v>6862</v>
      </c>
      <c r="D384" s="55" t="s">
        <v>6863</v>
      </c>
      <c r="E384" s="55" t="s">
        <v>6864</v>
      </c>
      <c r="F384" s="55" t="s">
        <v>6865</v>
      </c>
      <c r="G384" s="55" t="s">
        <v>6866</v>
      </c>
    </row>
    <row r="385" spans="1:7" x14ac:dyDescent="0.25">
      <c r="A385" t="s">
        <v>6867</v>
      </c>
      <c r="B385" t="str">
        <f t="shared" si="6"/>
        <v>Is the undertaking deriving revenues from one of the activities listed below?</v>
      </c>
      <c r="C385" t="s">
        <v>6868</v>
      </c>
      <c r="D385" s="55" t="s">
        <v>6869</v>
      </c>
      <c r="E385" s="55" t="s">
        <v>6870</v>
      </c>
      <c r="F385" s="55" t="s">
        <v>6871</v>
      </c>
      <c r="G385" s="55" t="s">
        <v>6872</v>
      </c>
    </row>
    <row r="386" spans="1:7" x14ac:dyDescent="0.25">
      <c r="A386" t="s">
        <v>6873</v>
      </c>
      <c r="B386" t="str">
        <f t="shared" si="6"/>
        <v>Monetary amount in</v>
      </c>
      <c r="C386" t="s">
        <v>6874</v>
      </c>
      <c r="D386" s="55" t="s">
        <v>6875</v>
      </c>
      <c r="E386" s="55" t="s">
        <v>6876</v>
      </c>
      <c r="F386" s="55" t="s">
        <v>6877</v>
      </c>
      <c r="G386" s="55" t="s">
        <v>6878</v>
      </c>
    </row>
    <row r="387" spans="1:7" x14ac:dyDescent="0.25">
      <c r="A387" t="s">
        <v>6879</v>
      </c>
      <c r="B387" t="str">
        <f t="shared" si="6"/>
        <v>Revenue derived from controversial weapons (anti-personnel mines cluster munitions chemical weapons and biological weapons)</v>
      </c>
      <c r="C387" t="s">
        <v>6880</v>
      </c>
      <c r="D387" s="55" t="s">
        <v>6881</v>
      </c>
      <c r="E387" s="55" t="s">
        <v>6882</v>
      </c>
      <c r="F387" s="55" t="s">
        <v>6883</v>
      </c>
      <c r="G387" s="55" t="s">
        <v>6884</v>
      </c>
    </row>
    <row r="388" spans="1:7" x14ac:dyDescent="0.25">
      <c r="A388" t="s">
        <v>6885</v>
      </c>
      <c r="B388" t="str">
        <f t="shared" ref="B388:B451" si="7">INDEX(C388:G388,MATCH(template_selected_display_language,$C$3:$G$3,0))</f>
        <v>Revenue derived from cultivation and production of tobacco</v>
      </c>
      <c r="C388" t="s">
        <v>6886</v>
      </c>
      <c r="D388" s="55" t="s">
        <v>6887</v>
      </c>
      <c r="E388" s="55" t="s">
        <v>6888</v>
      </c>
      <c r="F388" s="55" t="s">
        <v>6889</v>
      </c>
      <c r="G388" s="55" t="s">
        <v>6890</v>
      </c>
    </row>
    <row r="389" spans="1:7" x14ac:dyDescent="0.25">
      <c r="A389" t="s">
        <v>6891</v>
      </c>
      <c r="B389" t="str">
        <f t="shared" si="7"/>
        <v>Revenue derived from coal</v>
      </c>
      <c r="C389" t="s">
        <v>6892</v>
      </c>
      <c r="D389" s="55" t="s">
        <v>6893</v>
      </c>
      <c r="E389" s="55" t="s">
        <v>6894</v>
      </c>
      <c r="F389" s="55" t="s">
        <v>6895</v>
      </c>
      <c r="G389" s="55" t="s">
        <v>6896</v>
      </c>
    </row>
    <row r="390" spans="1:7" x14ac:dyDescent="0.25">
      <c r="A390" t="s">
        <v>6897</v>
      </c>
      <c r="B390" t="str">
        <f t="shared" si="7"/>
        <v>Revenue derived from oil</v>
      </c>
      <c r="C390" t="s">
        <v>6898</v>
      </c>
      <c r="D390" s="55" t="s">
        <v>6899</v>
      </c>
      <c r="E390" s="55" t="s">
        <v>6900</v>
      </c>
      <c r="F390" s="55" t="s">
        <v>6901</v>
      </c>
      <c r="G390" s="55" t="s">
        <v>6902</v>
      </c>
    </row>
    <row r="391" spans="1:7" x14ac:dyDescent="0.25">
      <c r="A391" t="s">
        <v>6903</v>
      </c>
      <c r="B391" t="str">
        <f t="shared" si="7"/>
        <v>Revenue derived from gas</v>
      </c>
      <c r="C391" t="s">
        <v>6904</v>
      </c>
      <c r="D391" s="55" t="s">
        <v>6905</v>
      </c>
      <c r="E391" s="55" t="s">
        <v>6906</v>
      </c>
      <c r="F391" s="55" t="s">
        <v>6907</v>
      </c>
      <c r="G391" s="55" t="s">
        <v>6908</v>
      </c>
    </row>
    <row r="392" spans="1:7" x14ac:dyDescent="0.25">
      <c r="A392" t="s">
        <v>6909</v>
      </c>
      <c r="B392" t="str">
        <f t="shared" si="7"/>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C392" t="s">
        <v>6910</v>
      </c>
      <c r="D392" s="55" t="s">
        <v>6911</v>
      </c>
      <c r="E392" s="55" t="s">
        <v>6912</v>
      </c>
      <c r="F392" s="55" t="s">
        <v>6913</v>
      </c>
      <c r="G392" s="55" t="s">
        <v>6914</v>
      </c>
    </row>
    <row r="393" spans="1:7" s="9" customFormat="1" ht="15.75" thickBot="1" x14ac:dyDescent="0.3">
      <c r="A393" s="9" t="s">
        <v>6915</v>
      </c>
      <c r="B393" s="9" t="str">
        <f t="shared" si="7"/>
        <v>Revenue derived from chemicals production</v>
      </c>
      <c r="C393" s="9" t="s">
        <v>6916</v>
      </c>
      <c r="D393" s="306" t="s">
        <v>6917</v>
      </c>
      <c r="E393" s="306" t="s">
        <v>6918</v>
      </c>
      <c r="F393" s="306" t="s">
        <v>6919</v>
      </c>
      <c r="G393" s="306" t="s">
        <v>6920</v>
      </c>
    </row>
    <row r="394" spans="1:7" x14ac:dyDescent="0.25">
      <c r="A394" t="s">
        <v>6921</v>
      </c>
      <c r="B394" t="str">
        <f t="shared" si="7"/>
        <v>C8 – Exclusion from EU reference benchmarks</v>
      </c>
      <c r="C394" t="s">
        <v>6922</v>
      </c>
      <c r="D394" s="55" t="s">
        <v>6923</v>
      </c>
      <c r="E394" s="55" t="s">
        <v>6924</v>
      </c>
      <c r="F394" s="55" t="s">
        <v>6925</v>
      </c>
      <c r="G394" s="55" t="s">
        <v>6926</v>
      </c>
    </row>
    <row r="395" spans="1:7" x14ac:dyDescent="0.25">
      <c r="A395" t="s">
        <v>6927</v>
      </c>
      <c r="B395" t="str">
        <f t="shared" si="7"/>
        <v>Undertakings are excluded from the EU Paris-aligned Benchmarks if they  derive:</v>
      </c>
      <c r="C395" t="s">
        <v>6928</v>
      </c>
      <c r="D395" s="55" t="s">
        <v>6929</v>
      </c>
      <c r="E395" s="55" t="s">
        <v>6930</v>
      </c>
      <c r="F395" s="55" t="s">
        <v>6931</v>
      </c>
      <c r="G395" s="55" t="s">
        <v>6932</v>
      </c>
    </row>
    <row r="396" spans="1:7" x14ac:dyDescent="0.25">
      <c r="A396" t="s">
        <v>6933</v>
      </c>
      <c r="B396" t="str">
        <f t="shared" si="7"/>
        <v>1% or more of their revenues from exploration mining extraction distribution or refining of hard coal and lignite</v>
      </c>
      <c r="C396" t="s">
        <v>6934</v>
      </c>
      <c r="D396" s="55" t="s">
        <v>6935</v>
      </c>
      <c r="E396" s="55" t="s">
        <v>6936</v>
      </c>
      <c r="F396" s="55" t="s">
        <v>6937</v>
      </c>
      <c r="G396" s="55" t="s">
        <v>6938</v>
      </c>
    </row>
    <row r="397" spans="1:7" x14ac:dyDescent="0.25">
      <c r="A397" t="s">
        <v>6939</v>
      </c>
      <c r="B397" t="str">
        <f t="shared" si="7"/>
        <v>10% or more of their revenues from the exploration extraction distribution or refining of oil fuels</v>
      </c>
      <c r="C397" t="s">
        <v>6940</v>
      </c>
      <c r="D397" s="55" t="s">
        <v>6941</v>
      </c>
      <c r="E397" s="55" t="s">
        <v>6942</v>
      </c>
      <c r="F397" s="55" t="s">
        <v>6943</v>
      </c>
      <c r="G397" s="55" t="s">
        <v>6944</v>
      </c>
    </row>
    <row r="398" spans="1:7" x14ac:dyDescent="0.25">
      <c r="A398" t="s">
        <v>6945</v>
      </c>
      <c r="B398" t="str">
        <f t="shared" si="7"/>
        <v>50% or more of their revenues from the exploration extraction manufacturing or distribution of gaseous fuels</v>
      </c>
      <c r="C398" t="s">
        <v>6946</v>
      </c>
      <c r="D398" s="55" t="s">
        <v>6947</v>
      </c>
      <c r="E398" s="55" t="s">
        <v>6948</v>
      </c>
      <c r="F398" s="55" t="s">
        <v>6949</v>
      </c>
      <c r="G398" s="55" t="s">
        <v>6950</v>
      </c>
    </row>
    <row r="399" spans="1:7" x14ac:dyDescent="0.25">
      <c r="A399" t="s">
        <v>6951</v>
      </c>
      <c r="B399" t="str">
        <f t="shared" si="7"/>
        <v>50% or more of their revenues from electricity generation with a GHG intensity of more than 100g CO2 e kWh</v>
      </c>
      <c r="C399" t="s">
        <v>6952</v>
      </c>
      <c r="D399" s="55" t="s">
        <v>6953</v>
      </c>
      <c r="E399" s="55" t="s">
        <v>6954</v>
      </c>
      <c r="F399" s="55" t="s">
        <v>6955</v>
      </c>
      <c r="G399" s="55" t="s">
        <v>6956</v>
      </c>
    </row>
    <row r="400" spans="1:7" x14ac:dyDescent="0.25">
      <c r="A400" t="s">
        <v>6957</v>
      </c>
      <c r="B400" t="str">
        <f t="shared" si="7"/>
        <v>None of the above</v>
      </c>
      <c r="C400" t="s">
        <v>6958</v>
      </c>
      <c r="D400" s="55" t="s">
        <v>6959</v>
      </c>
      <c r="E400" s="55" t="s">
        <v>6960</v>
      </c>
      <c r="F400" s="55" t="s">
        <v>6961</v>
      </c>
      <c r="G400" s="55" t="s">
        <v>6962</v>
      </c>
    </row>
    <row r="401" spans="1:7" s="9" customFormat="1" ht="15.75" thickBot="1" x14ac:dyDescent="0.3">
      <c r="A401" s="9" t="s">
        <v>6963</v>
      </c>
      <c r="B401" s="9" t="str">
        <f t="shared" si="7"/>
        <v>Undertakings are excluded from any EU reference benchmarks that are aligned with the Paris Agreement</v>
      </c>
      <c r="C401" s="9" t="s">
        <v>6964</v>
      </c>
      <c r="D401" s="306" t="s">
        <v>6965</v>
      </c>
      <c r="E401" s="306" t="s">
        <v>6966</v>
      </c>
      <c r="F401" s="306" t="s">
        <v>6967</v>
      </c>
      <c r="G401" s="306" t="s">
        <v>6968</v>
      </c>
    </row>
    <row r="402" spans="1:7" x14ac:dyDescent="0.25">
      <c r="A402" t="s">
        <v>6969</v>
      </c>
      <c r="B402" t="str">
        <f t="shared" si="7"/>
        <v>C9 – Gender diversity ratio in the governance body</v>
      </c>
      <c r="C402" t="s">
        <v>481</v>
      </c>
      <c r="D402" s="55" t="s">
        <v>6970</v>
      </c>
      <c r="E402" s="55" t="s">
        <v>6971</v>
      </c>
      <c r="F402" s="55" t="s">
        <v>6972</v>
      </c>
      <c r="G402" s="55" t="s">
        <v>5276</v>
      </c>
    </row>
    <row r="403" spans="1:7" x14ac:dyDescent="0.25">
      <c r="A403" t="s">
        <v>6973</v>
      </c>
      <c r="B403" t="str">
        <f t="shared" si="7"/>
        <v>Does the undertaking have a governance body in place?</v>
      </c>
      <c r="C403" t="s">
        <v>6974</v>
      </c>
      <c r="D403" s="55" t="s">
        <v>6975</v>
      </c>
      <c r="E403" s="55" t="s">
        <v>6976</v>
      </c>
      <c r="F403" s="55" t="s">
        <v>6977</v>
      </c>
      <c r="G403" s="55" t="s">
        <v>6978</v>
      </c>
    </row>
    <row r="404" spans="1:7" x14ac:dyDescent="0.25">
      <c r="A404" t="s">
        <v>6979</v>
      </c>
      <c r="B404" t="str">
        <f t="shared" si="7"/>
        <v>Number of female board members at the end of the reporting period</v>
      </c>
      <c r="C404" t="s">
        <v>6980</v>
      </c>
      <c r="D404" s="55" t="s">
        <v>6981</v>
      </c>
      <c r="E404" s="55" t="s">
        <v>6982</v>
      </c>
      <c r="F404" s="55" t="s">
        <v>6983</v>
      </c>
      <c r="G404" s="55" t="s">
        <v>6984</v>
      </c>
    </row>
    <row r="405" spans="1:7" x14ac:dyDescent="0.25">
      <c r="A405" t="s">
        <v>6985</v>
      </c>
      <c r="B405" t="str">
        <f t="shared" si="7"/>
        <v>Number of male board members at the end of the reporting period</v>
      </c>
      <c r="C405" t="s">
        <v>6986</v>
      </c>
      <c r="D405" s="55" t="s">
        <v>6987</v>
      </c>
      <c r="E405" s="55" t="s">
        <v>6988</v>
      </c>
      <c r="F405" s="55" t="s">
        <v>6989</v>
      </c>
      <c r="G405" s="55" t="s">
        <v>6990</v>
      </c>
    </row>
    <row r="406" spans="1:7" s="9" customFormat="1" ht="15.75" thickBot="1" x14ac:dyDescent="0.3">
      <c r="A406" s="9" t="s">
        <v>6991</v>
      </c>
      <c r="B406" s="9" t="str">
        <f t="shared" si="7"/>
        <v>Gender diversity ratio in governance body</v>
      </c>
      <c r="C406" s="9" t="s">
        <v>6992</v>
      </c>
      <c r="D406" s="306" t="s">
        <v>6993</v>
      </c>
      <c r="E406" s="306" t="s">
        <v>6994</v>
      </c>
      <c r="F406" s="306" t="s">
        <v>6995</v>
      </c>
      <c r="G406" s="306" t="s">
        <v>6996</v>
      </c>
    </row>
    <row r="407" spans="1:7" s="85" customFormat="1" ht="15.75" thickBot="1" x14ac:dyDescent="0.3">
      <c r="A407" s="85" t="s">
        <v>6997</v>
      </c>
      <c r="B407" s="85" t="str">
        <f t="shared" si="7"/>
        <v>Disclosure of any other governance and or entity specific governance disclosures</v>
      </c>
      <c r="C407" s="85" t="s">
        <v>6998</v>
      </c>
      <c r="D407" s="335" t="s">
        <v>6999</v>
      </c>
      <c r="E407" s="335" t="s">
        <v>7000</v>
      </c>
      <c r="F407" s="335" t="s">
        <v>7001</v>
      </c>
      <c r="G407" s="335" t="s">
        <v>7002</v>
      </c>
    </row>
    <row r="408" spans="1:7" x14ac:dyDescent="0.25">
      <c r="A408" t="s">
        <v>7003</v>
      </c>
      <c r="B408" t="str">
        <f t="shared" si="7"/>
        <v>FUEL CONVERTER</v>
      </c>
      <c r="C408" t="s">
        <v>7004</v>
      </c>
      <c r="D408" s="55" t="s">
        <v>7005</v>
      </c>
      <c r="E408" s="55" t="s">
        <v>7006</v>
      </c>
      <c r="F408" s="55" t="s">
        <v>7007</v>
      </c>
      <c r="G408" s="55" t="s">
        <v>7008</v>
      </c>
    </row>
    <row r="409" spans="1:7" x14ac:dyDescent="0.25">
      <c r="A409" t="s">
        <v>7009</v>
      </c>
      <c r="B409" t="str">
        <f t="shared" si="7"/>
        <v>DISCLAIMER:</v>
      </c>
      <c r="C409" t="s">
        <v>7010</v>
      </c>
      <c r="D409" s="55" t="s">
        <v>7011</v>
      </c>
      <c r="E409" s="55" t="s">
        <v>7012</v>
      </c>
      <c r="F409" s="55" t="s">
        <v>7013</v>
      </c>
      <c r="G409" s="55" t="s">
        <v>7014</v>
      </c>
    </row>
    <row r="410" spans="1:7" x14ac:dyDescent="0.25">
      <c r="A410" t="s">
        <v>7015</v>
      </c>
      <c r="B410" t="str">
        <f t="shared" si="7"/>
        <v>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v>
      </c>
      <c r="C410" t="s">
        <v>7016</v>
      </c>
      <c r="D410" s="55" t="s">
        <v>7017</v>
      </c>
      <c r="E410" s="55" t="s">
        <v>7018</v>
      </c>
      <c r="F410" s="55" t="s">
        <v>7019</v>
      </c>
      <c r="G410" s="55" t="s">
        <v>7020</v>
      </c>
    </row>
    <row r="411" spans="1:7" x14ac:dyDescent="0.25">
      <c r="A411" t="s">
        <v>7021</v>
      </c>
      <c r="B411" t="str">
        <f t="shared" si="7"/>
        <v>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v>
      </c>
      <c r="C411" t="s">
        <v>7022</v>
      </c>
      <c r="D411" s="55" t="s">
        <v>7023</v>
      </c>
      <c r="E411" s="55" t="s">
        <v>7024</v>
      </c>
      <c r="F411" s="55" t="s">
        <v>7025</v>
      </c>
      <c r="G411" s="55" t="s">
        <v>7026</v>
      </c>
    </row>
    <row r="412" spans="1:7" x14ac:dyDescent="0.25">
      <c r="A412" t="s">
        <v>7027</v>
      </c>
      <c r="B412" t="str">
        <f t="shared" si="7"/>
        <v>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v>
      </c>
      <c r="C412" t="s">
        <v>7028</v>
      </c>
      <c r="D412" s="55" t="s">
        <v>7029</v>
      </c>
      <c r="E412" s="55" t="s">
        <v>7030</v>
      </c>
      <c r="F412" s="55" t="s">
        <v>7031</v>
      </c>
      <c r="G412" s="55" t="s">
        <v>7032</v>
      </c>
    </row>
    <row r="413" spans="1:7" x14ac:dyDescent="0.25">
      <c r="A413" t="s">
        <v>7033</v>
      </c>
      <c r="B413" t="str">
        <f t="shared" si="7"/>
        <v>Indicates that the cell should be filled either by selecting a value from the dropdown (e.g. Type of fuel or Unit of Measurement) or by entering an amount.</v>
      </c>
      <c r="C413" t="s">
        <v>7034</v>
      </c>
      <c r="D413" s="55" t="s">
        <v>7035</v>
      </c>
      <c r="E413" s="55" t="s">
        <v>7036</v>
      </c>
      <c r="F413" s="55" t="s">
        <v>7037</v>
      </c>
      <c r="G413" s="55" t="s">
        <v>7038</v>
      </c>
    </row>
    <row r="414" spans="1:7" x14ac:dyDescent="0.25">
      <c r="A414" t="s">
        <v>7039</v>
      </c>
      <c r="B414" t="str">
        <f t="shared" si="7"/>
        <v>Fuel type</v>
      </c>
      <c r="C414" t="s">
        <v>7040</v>
      </c>
      <c r="D414" s="55" t="s">
        <v>7041</v>
      </c>
      <c r="E414" s="55" t="s">
        <v>7042</v>
      </c>
      <c r="F414" s="55" t="s">
        <v>7043</v>
      </c>
      <c r="G414" s="55" t="s">
        <v>7044</v>
      </c>
    </row>
    <row r="415" spans="1:7" x14ac:dyDescent="0.25">
      <c r="A415" t="s">
        <v>7045</v>
      </c>
      <c r="B415" t="str">
        <f t="shared" si="7"/>
        <v>Amount</v>
      </c>
      <c r="C415" t="s">
        <v>195</v>
      </c>
      <c r="D415" s="55" t="s">
        <v>7046</v>
      </c>
      <c r="E415" s="55" t="s">
        <v>7047</v>
      </c>
      <c r="F415" s="55" t="s">
        <v>7048</v>
      </c>
      <c r="G415" s="55" t="s">
        <v>7049</v>
      </c>
    </row>
    <row r="416" spans="1:7" x14ac:dyDescent="0.25">
      <c r="A416" t="s">
        <v>7050</v>
      </c>
      <c r="B416" t="str">
        <f t="shared" si="7"/>
        <v>State of matter</v>
      </c>
      <c r="C416" t="s">
        <v>193</v>
      </c>
      <c r="D416" s="55" t="s">
        <v>7051</v>
      </c>
      <c r="E416" s="55" t="s">
        <v>7052</v>
      </c>
      <c r="F416" s="55" t="s">
        <v>7053</v>
      </c>
      <c r="G416" s="55" t="s">
        <v>7054</v>
      </c>
    </row>
    <row r="417" spans="1:7" x14ac:dyDescent="0.25">
      <c r="A417" t="s">
        <v>7055</v>
      </c>
      <c r="B417" t="str">
        <f t="shared" si="7"/>
        <v>Typical renewable state</v>
      </c>
      <c r="C417" t="s">
        <v>7056</v>
      </c>
      <c r="D417" s="55" t="s">
        <v>7057</v>
      </c>
      <c r="E417" s="55" t="s">
        <v>7058</v>
      </c>
      <c r="F417" s="55" t="s">
        <v>7059</v>
      </c>
      <c r="G417" s="55" t="s">
        <v>7060</v>
      </c>
    </row>
    <row r="418" spans="1:7" x14ac:dyDescent="0.25">
      <c r="A418" t="s">
        <v>7061</v>
      </c>
      <c r="B418" t="str">
        <f t="shared" si="7"/>
        <v>Calculated Energy in MWh</v>
      </c>
      <c r="C418" t="s">
        <v>7062</v>
      </c>
      <c r="D418" s="55" t="s">
        <v>7063</v>
      </c>
      <c r="E418" s="55" t="s">
        <v>7064</v>
      </c>
      <c r="F418" s="55" t="s">
        <v>7065</v>
      </c>
      <c r="G418" s="55" t="s">
        <v>7066</v>
      </c>
    </row>
    <row r="419" spans="1:7" x14ac:dyDescent="0.25">
      <c r="A419" t="s">
        <v>7067</v>
      </c>
      <c r="B419" t="str">
        <f t="shared" si="7"/>
        <v>Usage of Fuel Converter:</v>
      </c>
      <c r="C419" t="s">
        <v>7068</v>
      </c>
      <c r="D419" s="55" t="s">
        <v>7069</v>
      </c>
      <c r="E419" s="55" t="s">
        <v>7070</v>
      </c>
      <c r="F419" s="55" t="s">
        <v>7071</v>
      </c>
      <c r="G419" s="55" t="s">
        <v>7072</v>
      </c>
    </row>
    <row r="420" spans="1:7" x14ac:dyDescent="0.25">
      <c r="A420" t="s">
        <v>7073</v>
      </c>
      <c r="B420" t="str">
        <f t="shared" si="7"/>
        <v>1. In cell A9 select the Fuel used, searching for it or scrolling down the list displayed clicking the cell</v>
      </c>
      <c r="C420" t="s">
        <v>7074</v>
      </c>
      <c r="D420" s="55" t="s">
        <v>7075</v>
      </c>
      <c r="E420" s="55" t="s">
        <v>7076</v>
      </c>
      <c r="F420" s="55" t="s">
        <v>7077</v>
      </c>
      <c r="G420" s="55" t="s">
        <v>7078</v>
      </c>
    </row>
    <row r="421" spans="1:7" x14ac:dyDescent="0.25">
      <c r="A421" t="s">
        <v>7079</v>
      </c>
      <c r="B421" t="str">
        <f t="shared" si="7"/>
        <v>2. In cell B9 select the Unit of measurement used</v>
      </c>
      <c r="C421" t="s">
        <v>7080</v>
      </c>
      <c r="D421" s="55" t="s">
        <v>7081</v>
      </c>
      <c r="E421" s="55" t="s">
        <v>7082</v>
      </c>
      <c r="F421" s="55" t="s">
        <v>7083</v>
      </c>
      <c r="G421" s="55" t="s">
        <v>7084</v>
      </c>
    </row>
    <row r="422" spans="1:7" x14ac:dyDescent="0.25">
      <c r="A422" t="s">
        <v>7085</v>
      </c>
      <c r="B422" t="str">
        <f t="shared" si="7"/>
        <v>3. In cell C9 select the Amount of fuel used</v>
      </c>
      <c r="C422" t="s">
        <v>7086</v>
      </c>
      <c r="D422" s="55" t="s">
        <v>7087</v>
      </c>
      <c r="E422" s="55" t="s">
        <v>7088</v>
      </c>
      <c r="F422" s="55" t="s">
        <v>7089</v>
      </c>
      <c r="G422" s="55" t="s">
        <v>7090</v>
      </c>
    </row>
    <row r="423" spans="1:7" x14ac:dyDescent="0.25">
      <c r="A423" t="s">
        <v>7091</v>
      </c>
      <c r="B423" t="str">
        <f t="shared" si="7"/>
        <v>4. In cell D9 it is displayed the State of matter for the Fuel selected</v>
      </c>
      <c r="C423" t="s">
        <v>7092</v>
      </c>
      <c r="D423" s="55" t="s">
        <v>7093</v>
      </c>
      <c r="E423" s="55" t="s">
        <v>7094</v>
      </c>
      <c r="F423" s="55" t="s">
        <v>7095</v>
      </c>
      <c r="G423" s="55" t="s">
        <v>7096</v>
      </c>
    </row>
    <row r="424" spans="1:7" x14ac:dyDescent="0.25">
      <c r="A424" t="s">
        <v>7097</v>
      </c>
      <c r="B424" t="str">
        <f t="shared" si="7"/>
        <v>5. In cell E9 it is displayed the Typical renewability state for the Fuel selected</v>
      </c>
      <c r="C424" t="s">
        <v>7098</v>
      </c>
      <c r="D424" s="55" t="s">
        <v>7099</v>
      </c>
      <c r="E424" s="55" t="s">
        <v>7100</v>
      </c>
      <c r="F424" s="55" t="s">
        <v>7101</v>
      </c>
      <c r="G424" s="55" t="s">
        <v>7102</v>
      </c>
    </row>
    <row r="425" spans="1:7" x14ac:dyDescent="0.25">
      <c r="A425" t="s">
        <v>7103</v>
      </c>
      <c r="B425" t="str">
        <f t="shared" si="7"/>
        <v>6. In cell F9 is displayed the Energy produced in Mega Watt hours by the Amount of Fuel specified</v>
      </c>
      <c r="C425" t="s">
        <v>7104</v>
      </c>
      <c r="D425" s="55" t="s">
        <v>7105</v>
      </c>
      <c r="E425" s="55" t="s">
        <v>7106</v>
      </c>
      <c r="F425" s="55" t="s">
        <v>7107</v>
      </c>
      <c r="G425" s="55" t="s">
        <v>7108</v>
      </c>
    </row>
    <row r="426" spans="1:7" x14ac:dyDescent="0.25">
      <c r="A426" t="s">
        <v>7109</v>
      </c>
      <c r="B426" t="str">
        <f t="shared" si="7"/>
        <v>7. In cell A28 is displayed the Total Energy in Mega Watt hours</v>
      </c>
      <c r="C426" t="s">
        <v>7110</v>
      </c>
      <c r="D426" s="55" t="s">
        <v>7111</v>
      </c>
      <c r="E426" s="55" t="s">
        <v>7112</v>
      </c>
      <c r="F426" s="55" t="s">
        <v>7113</v>
      </c>
      <c r="G426" s="55" t="s">
        <v>7114</v>
      </c>
    </row>
    <row r="427" spans="1:7" x14ac:dyDescent="0.25">
      <c r="A427" t="s">
        <v>7115</v>
      </c>
      <c r="B427" t="str">
        <f t="shared" si="7"/>
        <v>8. In cell A31 is displayed the Total Renewable Energy in Mega Watt hours</v>
      </c>
      <c r="C427" t="s">
        <v>7116</v>
      </c>
      <c r="D427" s="55" t="s">
        <v>7117</v>
      </c>
      <c r="E427" s="55" t="s">
        <v>7118</v>
      </c>
      <c r="F427" s="55" t="s">
        <v>7119</v>
      </c>
      <c r="G427" s="55" t="s">
        <v>7120</v>
      </c>
    </row>
    <row r="428" spans="1:7" x14ac:dyDescent="0.25">
      <c r="A428" t="s">
        <v>7121</v>
      </c>
      <c r="B428" t="str">
        <f t="shared" si="7"/>
        <v>9. In cell B31 is displayed the Total Non-renewable Energy in Mega Watt hours</v>
      </c>
      <c r="C428" t="s">
        <v>7122</v>
      </c>
      <c r="D428" s="55" t="s">
        <v>7123</v>
      </c>
      <c r="E428" s="55" t="s">
        <v>7124</v>
      </c>
      <c r="F428" s="55" t="s">
        <v>7125</v>
      </c>
      <c r="G428" s="55" t="s">
        <v>7126</v>
      </c>
    </row>
    <row r="429" spans="1:7" x14ac:dyDescent="0.25">
      <c r="A429" t="s">
        <v>7127</v>
      </c>
      <c r="B429" t="str">
        <f t="shared" si="7"/>
        <v>10. Further notes can be found below</v>
      </c>
      <c r="C429" t="s">
        <v>7128</v>
      </c>
      <c r="D429" s="55" t="s">
        <v>7129</v>
      </c>
      <c r="E429" s="55" t="s">
        <v>7130</v>
      </c>
      <c r="F429" s="55" t="s">
        <v>7131</v>
      </c>
      <c r="G429" s="331" t="s">
        <v>7132</v>
      </c>
    </row>
    <row r="430" spans="1:7" x14ac:dyDescent="0.25">
      <c r="A430" t="s">
        <v>7133</v>
      </c>
      <c r="B430" t="str">
        <f t="shared" si="7"/>
        <v>Transfer the total calculated results to the B3 "Fuel Energy Consumption" reporting cell</v>
      </c>
      <c r="C430" t="s">
        <v>7134</v>
      </c>
      <c r="D430" s="55" t="s">
        <v>7135</v>
      </c>
      <c r="E430" s="55" t="s">
        <v>7136</v>
      </c>
      <c r="F430" s="55" t="s">
        <v>7137</v>
      </c>
      <c r="G430" s="55" t="s">
        <v>7138</v>
      </c>
    </row>
    <row r="431" spans="1:7" x14ac:dyDescent="0.25">
      <c r="A431" t="s">
        <v>7139</v>
      </c>
      <c r="B431" t="str">
        <f t="shared" si="7"/>
        <v>Total Energy [MWh]</v>
      </c>
      <c r="C431" t="s">
        <v>7140</v>
      </c>
      <c r="D431" s="55" t="s">
        <v>7141</v>
      </c>
      <c r="E431" s="55" t="s">
        <v>7142</v>
      </c>
      <c r="F431" s="55" t="s">
        <v>7143</v>
      </c>
      <c r="G431" s="55" t="s">
        <v>7144</v>
      </c>
    </row>
    <row r="432" spans="1:7" x14ac:dyDescent="0.25">
      <c r="A432" t="s">
        <v>7145</v>
      </c>
      <c r="B432" t="str">
        <f t="shared" si="7"/>
        <v>Total Renewable Energy [MWh]</v>
      </c>
      <c r="C432" t="s">
        <v>7146</v>
      </c>
      <c r="D432" s="55" t="s">
        <v>7147</v>
      </c>
      <c r="E432" s="55" t="s">
        <v>7148</v>
      </c>
      <c r="F432" s="55" t="s">
        <v>7149</v>
      </c>
      <c r="G432" s="55" t="s">
        <v>7150</v>
      </c>
    </row>
    <row r="433" spans="1:7" x14ac:dyDescent="0.25">
      <c r="A433" t="s">
        <v>7151</v>
      </c>
      <c r="B433" t="str">
        <f t="shared" si="7"/>
        <v>Total Non-renewable Energy [MWh]</v>
      </c>
      <c r="C433" t="s">
        <v>7152</v>
      </c>
      <c r="D433" s="55" t="s">
        <v>7153</v>
      </c>
      <c r="E433" s="55" t="s">
        <v>7154</v>
      </c>
      <c r="F433" s="55" t="s">
        <v>7155</v>
      </c>
      <c r="G433" s="55" t="s">
        <v>7156</v>
      </c>
    </row>
    <row r="434" spans="1:7" x14ac:dyDescent="0.25">
      <c r="A434" t="s">
        <v>7157</v>
      </c>
      <c r="B434" t="str">
        <f t="shared" si="7"/>
        <v>Further notes:</v>
      </c>
      <c r="C434" t="s">
        <v>7158</v>
      </c>
      <c r="D434" s="55" t="s">
        <v>7159</v>
      </c>
      <c r="E434" s="55" t="s">
        <v>7160</v>
      </c>
      <c r="F434" s="55" t="s">
        <v>7161</v>
      </c>
      <c r="G434" s="55" t="s">
        <v>7162</v>
      </c>
    </row>
    <row r="435" spans="1:7" s="9" customFormat="1" ht="15" customHeight="1" thickBot="1" x14ac:dyDescent="0.3">
      <c r="A435" s="9" t="s">
        <v>7163</v>
      </c>
      <c r="B435" s="9" t="str">
        <f t="shared" si="7"/>
        <v>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v>
      </c>
      <c r="C435" s="333" t="s">
        <v>7164</v>
      </c>
      <c r="D435" s="306" t="s">
        <v>7165</v>
      </c>
      <c r="E435" s="306" t="s">
        <v>7166</v>
      </c>
      <c r="F435" s="306" t="s">
        <v>7167</v>
      </c>
      <c r="G435" s="306" t="s">
        <v>7168</v>
      </c>
    </row>
    <row r="436" spans="1:7" x14ac:dyDescent="0.25">
      <c r="A436" t="s">
        <v>7169</v>
      </c>
      <c r="B436" t="str">
        <f t="shared" si="7"/>
        <v>Energy Consumption per Hour in MWh for Solid Fuels:</v>
      </c>
      <c r="C436" t="s">
        <v>7170</v>
      </c>
      <c r="D436" s="55" t="s">
        <v>7171</v>
      </c>
      <c r="E436" s="55" t="s">
        <v>7172</v>
      </c>
      <c r="F436" s="55" t="s">
        <v>7173</v>
      </c>
      <c r="G436" s="55" t="s">
        <v>7174</v>
      </c>
    </row>
    <row r="437" spans="1:7" x14ac:dyDescent="0.25">
      <c r="A437" t="s">
        <v>7175</v>
      </c>
      <c r="B437" t="str">
        <f t="shared" si="7"/>
        <v>Energy [MWh] = Mass [t] * NCV [MWh/t]</v>
      </c>
      <c r="C437" t="s">
        <v>7176</v>
      </c>
      <c r="D437" s="55" t="s">
        <v>7177</v>
      </c>
      <c r="E437" s="55" t="s">
        <v>7178</v>
      </c>
      <c r="F437" s="55" t="s">
        <v>7179</v>
      </c>
      <c r="G437" s="55" t="s">
        <v>7180</v>
      </c>
    </row>
    <row r="438" spans="1:7" x14ac:dyDescent="0.25">
      <c r="A438" t="s">
        <v>7181</v>
      </c>
      <c r="B438" t="str">
        <f t="shared" si="7"/>
        <v>Energy Consumption per Hour in MWh for Liquid Fuels:</v>
      </c>
      <c r="C438" t="s">
        <v>7182</v>
      </c>
      <c r="D438" s="55" t="s">
        <v>7183</v>
      </c>
      <c r="E438" s="55" t="s">
        <v>7184</v>
      </c>
      <c r="F438" s="55" t="s">
        <v>7185</v>
      </c>
      <c r="G438" s="55" t="s">
        <v>7186</v>
      </c>
    </row>
    <row r="439" spans="1:7" x14ac:dyDescent="0.25">
      <c r="A439" t="s">
        <v>7187</v>
      </c>
      <c r="B439" t="str">
        <f t="shared" si="7"/>
        <v>Mass [t] = Volume [L] * Density [t/L]</v>
      </c>
      <c r="C439" t="s">
        <v>7188</v>
      </c>
      <c r="D439" s="55" t="s">
        <v>7189</v>
      </c>
      <c r="E439" s="55" t="s">
        <v>7190</v>
      </c>
      <c r="F439" s="55" t="s">
        <v>7191</v>
      </c>
      <c r="G439" s="55" t="s">
        <v>7192</v>
      </c>
    </row>
    <row r="440" spans="1:7" x14ac:dyDescent="0.25">
      <c r="A440" t="s">
        <v>7193</v>
      </c>
      <c r="B440" t="str">
        <f t="shared" si="7"/>
        <v>Energy [MWh] = Mass [t] * [MWh/t]</v>
      </c>
      <c r="C440" t="s">
        <v>7194</v>
      </c>
      <c r="D440" s="55" t="s">
        <v>7195</v>
      </c>
      <c r="E440" s="55" t="s">
        <v>7196</v>
      </c>
      <c r="F440" s="55" t="s">
        <v>7197</v>
      </c>
      <c r="G440" s="55" t="s">
        <v>7198</v>
      </c>
    </row>
    <row r="441" spans="1:7" x14ac:dyDescent="0.25">
      <c r="A441" t="s">
        <v>7199</v>
      </c>
      <c r="B441" t="str">
        <f t="shared" si="7"/>
        <v>Energy Consumption per Hour in MWh for Gaseous Fuels:</v>
      </c>
      <c r="C441" t="s">
        <v>7200</v>
      </c>
      <c r="D441" s="55" t="s">
        <v>7201</v>
      </c>
      <c r="E441" s="55" t="s">
        <v>7202</v>
      </c>
      <c r="F441" s="55" t="s">
        <v>7203</v>
      </c>
      <c r="G441" s="55" t="s">
        <v>7204</v>
      </c>
    </row>
    <row r="442" spans="1:7" x14ac:dyDescent="0.25">
      <c r="A442" t="s">
        <v>7205</v>
      </c>
      <c r="B442" t="str">
        <f t="shared" si="7"/>
        <v>Mass [t] = Volume [m³] * Density [t/m³]</v>
      </c>
      <c r="C442" t="s">
        <v>7206</v>
      </c>
      <c r="D442" s="55" t="s">
        <v>7207</v>
      </c>
      <c r="E442" s="55" t="s">
        <v>7208</v>
      </c>
      <c r="F442" s="55" t="s">
        <v>7209</v>
      </c>
      <c r="G442" s="55" t="s">
        <v>7210</v>
      </c>
    </row>
    <row r="443" spans="1:7" s="9" customFormat="1" ht="15.75" thickBot="1" x14ac:dyDescent="0.3">
      <c r="A443" s="9" t="s">
        <v>7211</v>
      </c>
      <c r="B443" s="9" t="str">
        <f t="shared" si="7"/>
        <v>Energy [MWh] = Mass [t] * NCV [MWh/t]</v>
      </c>
      <c r="C443" s="9" t="s">
        <v>7176</v>
      </c>
      <c r="D443" s="306" t="s">
        <v>7177</v>
      </c>
      <c r="E443" s="306" t="s">
        <v>7178</v>
      </c>
      <c r="F443" s="306" t="s">
        <v>7179</v>
      </c>
      <c r="G443" s="306" t="s">
        <v>7212</v>
      </c>
    </row>
    <row r="444" spans="1:7" x14ac:dyDescent="0.25">
      <c r="A444" t="s">
        <v>7213</v>
      </c>
      <c r="B444" t="str">
        <f t="shared" si="7"/>
        <v>UNIT OF MEASUREMENT CONVERTER</v>
      </c>
      <c r="C444" t="s">
        <v>7214</v>
      </c>
      <c r="D444" s="55" t="s">
        <v>7215</v>
      </c>
      <c r="E444" s="55" t="s">
        <v>7216</v>
      </c>
      <c r="F444" s="55" t="s">
        <v>7217</v>
      </c>
      <c r="G444" s="55" t="s">
        <v>7218</v>
      </c>
    </row>
    <row r="445" spans="1:7" x14ac:dyDescent="0.25">
      <c r="A445" t="s">
        <v>7219</v>
      </c>
      <c r="B445" t="str">
        <f t="shared" si="7"/>
        <v xml:space="preserve">From </v>
      </c>
      <c r="C445" t="s">
        <v>7220</v>
      </c>
      <c r="D445" s="55" t="s">
        <v>7221</v>
      </c>
      <c r="E445" s="55" t="s">
        <v>7222</v>
      </c>
      <c r="F445" s="55" t="s">
        <v>7223</v>
      </c>
      <c r="G445" s="55" t="s">
        <v>7224</v>
      </c>
    </row>
    <row r="446" spans="1:7" x14ac:dyDescent="0.25">
      <c r="A446" t="s">
        <v>7225</v>
      </c>
      <c r="B446" t="str">
        <f t="shared" si="7"/>
        <v>Unit of measurement of Mass Converter</v>
      </c>
      <c r="C446" t="s">
        <v>7226</v>
      </c>
      <c r="D446" s="55" t="s">
        <v>7227</v>
      </c>
      <c r="E446" s="55" t="s">
        <v>7228</v>
      </c>
      <c r="F446" s="55" t="s">
        <v>7229</v>
      </c>
      <c r="G446" s="55" t="s">
        <v>7230</v>
      </c>
    </row>
    <row r="447" spans="1:7" x14ac:dyDescent="0.25">
      <c r="A447" t="s">
        <v>7231</v>
      </c>
      <c r="B447" t="str">
        <f t="shared" si="7"/>
        <v>Unit of measurement of Volume Converter</v>
      </c>
      <c r="C447" t="s">
        <v>7232</v>
      </c>
      <c r="D447" s="55" t="s">
        <v>7233</v>
      </c>
      <c r="E447" s="55" t="s">
        <v>7234</v>
      </c>
      <c r="F447" s="55" t="s">
        <v>7235</v>
      </c>
      <c r="G447" s="55" t="s">
        <v>7236</v>
      </c>
    </row>
    <row r="448" spans="1:7" x14ac:dyDescent="0.25">
      <c r="A448" t="s">
        <v>7237</v>
      </c>
      <c r="B448" t="str">
        <f t="shared" si="7"/>
        <v>Unit of measurement of Energy Consumption per Hour</v>
      </c>
      <c r="C448" t="s">
        <v>7238</v>
      </c>
      <c r="D448" s="55" t="s">
        <v>7239</v>
      </c>
      <c r="E448" s="55" t="s">
        <v>7240</v>
      </c>
      <c r="F448" s="55" t="s">
        <v>7241</v>
      </c>
      <c r="G448" s="55" t="s">
        <v>7242</v>
      </c>
    </row>
    <row r="449" spans="1:7" x14ac:dyDescent="0.25">
      <c r="A449" t="s">
        <v>7243</v>
      </c>
      <c r="B449" t="str">
        <f t="shared" si="7"/>
        <v>Unit of measurement of NCV Converter</v>
      </c>
      <c r="C449" t="s">
        <v>7244</v>
      </c>
      <c r="D449" s="55" t="s">
        <v>7245</v>
      </c>
      <c r="E449" s="55" t="s">
        <v>7246</v>
      </c>
      <c r="F449" s="55" t="s">
        <v>7247</v>
      </c>
      <c r="G449" s="55" t="s">
        <v>7248</v>
      </c>
    </row>
    <row r="450" spans="1:7" x14ac:dyDescent="0.25">
      <c r="A450" t="s">
        <v>7249</v>
      </c>
      <c r="B450" t="str">
        <f t="shared" si="7"/>
        <v>Unit of measurement of Density Converter</v>
      </c>
      <c r="C450" t="s">
        <v>7250</v>
      </c>
      <c r="D450" s="55" t="s">
        <v>7251</v>
      </c>
      <c r="E450" s="55" t="s">
        <v>7252</v>
      </c>
      <c r="F450" s="55" t="s">
        <v>7253</v>
      </c>
      <c r="G450" s="55" t="s">
        <v>7254</v>
      </c>
    </row>
    <row r="451" spans="1:7" x14ac:dyDescent="0.25">
      <c r="A451" t="s">
        <v>7255</v>
      </c>
      <c r="B451" t="str">
        <f t="shared" si="7"/>
        <v>Usage of Unit of Measurement Converter</v>
      </c>
      <c r="C451" t="s">
        <v>7256</v>
      </c>
      <c r="D451" s="55" t="s">
        <v>7257</v>
      </c>
      <c r="E451" s="55" t="s">
        <v>7258</v>
      </c>
      <c r="F451" s="55" t="s">
        <v>7259</v>
      </c>
      <c r="G451" s="55" t="s">
        <v>7260</v>
      </c>
    </row>
    <row r="452" spans="1:7" x14ac:dyDescent="0.25">
      <c r="A452" t="s">
        <v>7261</v>
      </c>
      <c r="B452" t="str">
        <f t="shared" ref="B452:B490" si="8">INDEX(C452:G452,MATCH(template_selected_display_language,$C$3:$G$3,0))</f>
        <v>Steps to follow for the Mass table:</v>
      </c>
      <c r="C452" t="s">
        <v>7262</v>
      </c>
      <c r="D452" s="55" t="s">
        <v>7263</v>
      </c>
      <c r="E452" s="55" t="s">
        <v>7264</v>
      </c>
      <c r="F452" s="55" t="s">
        <v>7265</v>
      </c>
      <c r="G452" s="55" t="s">
        <v>7266</v>
      </c>
    </row>
    <row r="453" spans="1:7" x14ac:dyDescent="0.25">
      <c r="A453" t="s">
        <v>7267</v>
      </c>
      <c r="B453" t="str">
        <f t="shared" si="8"/>
        <v>1. In the cell B5 of the table related to the Unit of measurement of Mass Converter should be inserted the Unit of measurement to convert.</v>
      </c>
      <c r="C453" t="s">
        <v>7268</v>
      </c>
      <c r="D453" s="55" t="s">
        <v>7269</v>
      </c>
      <c r="E453" s="55" t="s">
        <v>7270</v>
      </c>
      <c r="F453" s="55" t="s">
        <v>7271</v>
      </c>
      <c r="G453" s="55" t="s">
        <v>7272</v>
      </c>
    </row>
    <row r="454" spans="1:7" x14ac:dyDescent="0.25">
      <c r="A454" t="s">
        <v>7273</v>
      </c>
      <c r="B454" t="str">
        <f t="shared" si="8"/>
        <v>2. Then in the cell B6 the amount of mass can be inserted.</v>
      </c>
      <c r="C454" t="s">
        <v>7274</v>
      </c>
      <c r="D454" s="55" t="s">
        <v>7275</v>
      </c>
      <c r="E454" s="55" t="s">
        <v>7276</v>
      </c>
      <c r="F454" s="55" t="s">
        <v>7277</v>
      </c>
      <c r="G454" s="55" t="s">
        <v>7278</v>
      </c>
    </row>
    <row r="455" spans="1:7" x14ac:dyDescent="0.25">
      <c r="A455" t="s">
        <v>7279</v>
      </c>
      <c r="B455" t="str">
        <f t="shared" si="8"/>
        <v>3. Finally in the cell D5 there should be the unit of measurement of interest.</v>
      </c>
      <c r="C455" t="s">
        <v>7280</v>
      </c>
      <c r="D455" s="55" t="s">
        <v>7281</v>
      </c>
      <c r="E455" s="55" t="s">
        <v>7282</v>
      </c>
      <c r="F455" s="55" t="s">
        <v>7283</v>
      </c>
      <c r="G455" s="55" t="s">
        <v>7284</v>
      </c>
    </row>
    <row r="456" spans="1:7" x14ac:dyDescent="0.25">
      <c r="A456" t="s">
        <v>7285</v>
      </c>
      <c r="B456" t="str">
        <f t="shared" si="8"/>
        <v>4. The outcome of the conversion will be displayed in the cell D6.</v>
      </c>
      <c r="C456" t="s">
        <v>7286</v>
      </c>
      <c r="D456" s="55" t="s">
        <v>7287</v>
      </c>
      <c r="E456" s="55" t="s">
        <v>7288</v>
      </c>
      <c r="F456" s="55" t="s">
        <v>7289</v>
      </c>
      <c r="G456" s="55" t="s">
        <v>7290</v>
      </c>
    </row>
    <row r="457" spans="1:7" x14ac:dyDescent="0.25">
      <c r="A457" t="s">
        <v>7291</v>
      </c>
      <c r="B457" t="str">
        <f t="shared" si="8"/>
        <v>The steps to follow for the other tables (Volume, Energy Consumption, Density and NCV) are the same of the Mass table.</v>
      </c>
      <c r="C457" t="s">
        <v>7292</v>
      </c>
      <c r="D457" s="55" t="s">
        <v>7293</v>
      </c>
      <c r="E457" s="55" t="s">
        <v>7294</v>
      </c>
      <c r="F457" s="55" t="s">
        <v>7295</v>
      </c>
      <c r="G457" s="55" t="s">
        <v>7296</v>
      </c>
    </row>
    <row r="458" spans="1:7" x14ac:dyDescent="0.25">
      <c r="A458" t="s">
        <v>7297</v>
      </c>
      <c r="B458" t="str">
        <f t="shared" si="8"/>
        <v>Below are specified all the Units of measurement conversions of each table.</v>
      </c>
      <c r="C458" t="s">
        <v>7298</v>
      </c>
      <c r="D458" s="55" t="s">
        <v>7299</v>
      </c>
      <c r="E458" s="55" t="s">
        <v>7300</v>
      </c>
      <c r="F458" s="55" t="s">
        <v>7301</v>
      </c>
      <c r="G458" s="55" t="s">
        <v>7302</v>
      </c>
    </row>
    <row r="459" spans="1:7" x14ac:dyDescent="0.25">
      <c r="A459" t="s">
        <v>7303</v>
      </c>
      <c r="B459" t="str">
        <f t="shared" si="8"/>
        <v>▪ Unit of measurement of Mass Converter:</v>
      </c>
      <c r="C459" t="s">
        <v>7304</v>
      </c>
      <c r="D459" s="55" t="s">
        <v>7227</v>
      </c>
      <c r="E459" s="55" t="s">
        <v>7305</v>
      </c>
      <c r="F459" s="55" t="s">
        <v>7306</v>
      </c>
      <c r="G459" s="55" t="s">
        <v>7307</v>
      </c>
    </row>
    <row r="460" spans="1:7" x14ac:dyDescent="0.25">
      <c r="A460" t="s">
        <v>7308</v>
      </c>
      <c r="B460" t="str">
        <f t="shared" si="8"/>
        <v>▪ Unit of measurement of Volume Converter:</v>
      </c>
      <c r="C460" t="s">
        <v>7309</v>
      </c>
      <c r="D460" s="55" t="s">
        <v>7233</v>
      </c>
      <c r="E460" s="55" t="s">
        <v>7310</v>
      </c>
      <c r="F460" s="55" t="s">
        <v>7311</v>
      </c>
      <c r="G460" s="55" t="s">
        <v>7312</v>
      </c>
    </row>
    <row r="461" spans="1:7" x14ac:dyDescent="0.25">
      <c r="A461" t="s">
        <v>7313</v>
      </c>
      <c r="B461" t="str">
        <f t="shared" si="8"/>
        <v>▪ Unit of measurement of Energy Converter:</v>
      </c>
      <c r="C461" t="s">
        <v>7314</v>
      </c>
      <c r="D461" s="55" t="s">
        <v>7315</v>
      </c>
      <c r="E461" s="55" t="s">
        <v>7316</v>
      </c>
      <c r="F461" s="55" t="s">
        <v>7317</v>
      </c>
      <c r="G461" s="55" t="s">
        <v>7318</v>
      </c>
    </row>
    <row r="462" spans="1:7" x14ac:dyDescent="0.25">
      <c r="A462" t="s">
        <v>7319</v>
      </c>
      <c r="B462" t="str">
        <f t="shared" si="8"/>
        <v>▪ Unit of measurement of Density Converter:</v>
      </c>
      <c r="C462" t="s">
        <v>7320</v>
      </c>
      <c r="D462" s="55" t="s">
        <v>7251</v>
      </c>
      <c r="E462" s="55" t="s">
        <v>7321</v>
      </c>
      <c r="F462" s="55" t="s">
        <v>7322</v>
      </c>
      <c r="G462" s="55" t="s">
        <v>7323</v>
      </c>
    </row>
    <row r="463" spans="1:7" s="9" customFormat="1" ht="15.75" thickBot="1" x14ac:dyDescent="0.3">
      <c r="A463" s="9" t="s">
        <v>7324</v>
      </c>
      <c r="B463" s="9" t="str">
        <f t="shared" si="8"/>
        <v>▪ Unit of measurement of NCV Converter:</v>
      </c>
      <c r="C463" s="9" t="s">
        <v>7325</v>
      </c>
      <c r="D463" s="306" t="s">
        <v>7245</v>
      </c>
      <c r="E463" s="306" t="s">
        <v>7326</v>
      </c>
      <c r="F463" s="306" t="s">
        <v>7327</v>
      </c>
      <c r="G463" s="306" t="s">
        <v>7328</v>
      </c>
    </row>
    <row r="464" spans="1:7" x14ac:dyDescent="0.25">
      <c r="A464" t="s">
        <v>7329</v>
      </c>
      <c r="B464" t="str">
        <f t="shared" si="8"/>
        <v>INCOMPLETE</v>
      </c>
      <c r="C464" t="s">
        <v>7330</v>
      </c>
      <c r="D464" s="55" t="s">
        <v>7331</v>
      </c>
      <c r="E464" s="55" t="s">
        <v>7332</v>
      </c>
      <c r="F464" s="55" t="s">
        <v>7333</v>
      </c>
      <c r="G464" s="55" t="s">
        <v>7333</v>
      </c>
    </row>
    <row r="465" spans="1:7" x14ac:dyDescent="0.25">
      <c r="A465" t="s">
        <v>7334</v>
      </c>
      <c r="B465" t="str">
        <f t="shared" si="8"/>
        <v>COMPLETE</v>
      </c>
      <c r="C465" t="s">
        <v>7335</v>
      </c>
      <c r="D465" s="55" t="s">
        <v>7336</v>
      </c>
      <c r="E465" s="55" t="s">
        <v>7337</v>
      </c>
      <c r="F465" s="55" t="s">
        <v>7338</v>
      </c>
      <c r="G465" s="55" t="s">
        <v>7338</v>
      </c>
    </row>
    <row r="466" spans="1:7" x14ac:dyDescent="0.25">
      <c r="A466" t="s">
        <v>7339</v>
      </c>
      <c r="B466" t="str">
        <f t="shared" si="8"/>
        <v>MISSING VALUE</v>
      </c>
      <c r="C466" t="s">
        <v>7340</v>
      </c>
      <c r="D466" s="55" t="s">
        <v>7341</v>
      </c>
      <c r="E466" s="55" t="s">
        <v>7342</v>
      </c>
      <c r="F466" s="55" t="s">
        <v>7343</v>
      </c>
      <c r="G466" s="55" t="s">
        <v>7344</v>
      </c>
    </row>
    <row r="467" spans="1:7" x14ac:dyDescent="0.25">
      <c r="A467" t="s">
        <v>7345</v>
      </c>
      <c r="B467" t="str">
        <f t="shared" si="8"/>
        <v>ERROR</v>
      </c>
      <c r="C467" t="s">
        <v>7346</v>
      </c>
      <c r="D467" s="55" t="s">
        <v>7347</v>
      </c>
      <c r="E467" s="55" t="s">
        <v>7348</v>
      </c>
      <c r="F467" s="55" t="s">
        <v>7349</v>
      </c>
      <c r="G467" s="55" t="s">
        <v>7346</v>
      </c>
    </row>
    <row r="468" spans="1:7" x14ac:dyDescent="0.25">
      <c r="A468" t="s">
        <v>7350</v>
      </c>
      <c r="B468" t="str">
        <f t="shared" si="8"/>
        <v>VALUE INCONSISTENCY</v>
      </c>
      <c r="C468" t="s">
        <v>7351</v>
      </c>
      <c r="D468" s="55" t="s">
        <v>7352</v>
      </c>
      <c r="E468" s="55" t="s">
        <v>7353</v>
      </c>
      <c r="F468" s="55" t="s">
        <v>7354</v>
      </c>
      <c r="G468" s="55" t="s">
        <v>7355</v>
      </c>
    </row>
    <row r="469" spans="1:7" x14ac:dyDescent="0.25">
      <c r="A469" t="s">
        <v>7356</v>
      </c>
      <c r="B469" t="str">
        <f t="shared" si="8"/>
        <v>ERROR + VALUE INCONSISTENCY</v>
      </c>
      <c r="C469" t="s">
        <v>7357</v>
      </c>
      <c r="D469" s="55" t="s">
        <v>7358</v>
      </c>
      <c r="E469" s="55" t="s">
        <v>7359</v>
      </c>
      <c r="F469" s="55" t="s">
        <v>7360</v>
      </c>
      <c r="G469" s="55" t="s">
        <v>7361</v>
      </c>
    </row>
    <row r="470" spans="1:7" x14ac:dyDescent="0.25">
      <c r="A470" t="s">
        <v>7362</v>
      </c>
      <c r="B470" t="str">
        <f t="shared" si="8"/>
        <v>ERROR + MISSING VALUE + VALUE INCONSISTENCY</v>
      </c>
      <c r="C470" t="s">
        <v>7363</v>
      </c>
      <c r="D470" s="55" t="s">
        <v>7364</v>
      </c>
      <c r="E470" s="55" t="s">
        <v>7365</v>
      </c>
      <c r="F470" s="55" t="s">
        <v>7366</v>
      </c>
      <c r="G470" s="55" t="s">
        <v>7367</v>
      </c>
    </row>
    <row r="471" spans="1:7" x14ac:dyDescent="0.25">
      <c r="A471" t="s">
        <v>7368</v>
      </c>
      <c r="B471" t="str">
        <f t="shared" si="8"/>
        <v>ERROR + MISSING VALUE</v>
      </c>
      <c r="C471" t="s">
        <v>7369</v>
      </c>
      <c r="D471" s="55" t="s">
        <v>7370</v>
      </c>
      <c r="E471" s="55" t="s">
        <v>7371</v>
      </c>
      <c r="F471" s="55" t="s">
        <v>7372</v>
      </c>
      <c r="G471" s="55" t="s">
        <v>7373</v>
      </c>
    </row>
    <row r="472" spans="1:7" x14ac:dyDescent="0.25">
      <c r="A472" t="s">
        <v>7374</v>
      </c>
      <c r="B472" t="str">
        <f t="shared" si="8"/>
        <v>MISSING VALUE + VALUE INCONSISTENCY</v>
      </c>
      <c r="C472" t="s">
        <v>7375</v>
      </c>
      <c r="D472" s="55" t="s">
        <v>7376</v>
      </c>
      <c r="E472" s="55" t="s">
        <v>7377</v>
      </c>
      <c r="F472" s="55" t="s">
        <v>7378</v>
      </c>
      <c r="G472" s="55" t="s">
        <v>7379</v>
      </c>
    </row>
    <row r="473" spans="1:7" x14ac:dyDescent="0.25">
      <c r="A473" t="s">
        <v>7380</v>
      </c>
      <c r="B473" t="str">
        <f t="shared" si="8"/>
        <v>INVALID URL</v>
      </c>
      <c r="C473" t="s">
        <v>7381</v>
      </c>
      <c r="D473" s="55" t="s">
        <v>7382</v>
      </c>
      <c r="E473" s="55" t="s">
        <v>7383</v>
      </c>
      <c r="F473" s="55" t="s">
        <v>7384</v>
      </c>
      <c r="G473" s="55" t="s">
        <v>7385</v>
      </c>
    </row>
    <row r="474" spans="1:7" x14ac:dyDescent="0.25">
      <c r="A474" t="s">
        <v>7386</v>
      </c>
      <c r="B474" t="str">
        <f t="shared" si="8"/>
        <v>OK</v>
      </c>
      <c r="C474" t="s">
        <v>7387</v>
      </c>
      <c r="D474" s="55" t="s">
        <v>7388</v>
      </c>
      <c r="E474" s="55" t="s">
        <v>7387</v>
      </c>
      <c r="F474" s="55" t="s">
        <v>7387</v>
      </c>
      <c r="G474" s="55" t="s">
        <v>7389</v>
      </c>
    </row>
    <row r="475" spans="1:7" x14ac:dyDescent="0.25">
      <c r="A475" t="s">
        <v>7390</v>
      </c>
      <c r="B475" t="str">
        <f t="shared" si="8"/>
        <v>ℹ️ Liquid fuel: please select one unit of measurement among m³ and L</v>
      </c>
      <c r="C475" t="s">
        <v>7391</v>
      </c>
      <c r="D475" s="55" t="s">
        <v>7392</v>
      </c>
      <c r="E475" s="55" t="s">
        <v>7393</v>
      </c>
      <c r="F475" s="55" t="s">
        <v>7394</v>
      </c>
      <c r="G475" s="55" t="s">
        <v>7395</v>
      </c>
    </row>
    <row r="476" spans="1:7" x14ac:dyDescent="0.25">
      <c r="A476" t="s">
        <v>7396</v>
      </c>
      <c r="B476" t="str">
        <f t="shared" si="8"/>
        <v>ℹ️ Solid fuel: please select one unit of measurement among Gg, t, Kg and g</v>
      </c>
      <c r="C476" t="s">
        <v>7397</v>
      </c>
      <c r="D476" s="55" t="s">
        <v>7398</v>
      </c>
      <c r="E476" s="55" t="s">
        <v>7399</v>
      </c>
      <c r="F476" s="55" t="s">
        <v>7400</v>
      </c>
      <c r="G476" s="55" t="s">
        <v>7401</v>
      </c>
    </row>
    <row r="477" spans="1:7" x14ac:dyDescent="0.25">
      <c r="A477" t="s">
        <v>7402</v>
      </c>
      <c r="B477" t="str">
        <f t="shared" si="8"/>
        <v>ℹ️ Gaseous fuel: please select one unit of measurement among m³ and L</v>
      </c>
      <c r="C477" t="s">
        <v>7403</v>
      </c>
      <c r="D477" s="55" t="s">
        <v>7404</v>
      </c>
      <c r="E477" s="55" t="s">
        <v>7405</v>
      </c>
      <c r="F477" s="55" t="s">
        <v>7406</v>
      </c>
      <c r="G477" s="55" t="s">
        <v>7407</v>
      </c>
    </row>
    <row r="478" spans="1:7" x14ac:dyDescent="0.25">
      <c r="A478" t="s">
        <v>7408</v>
      </c>
      <c r="B478" t="str">
        <f t="shared" si="8"/>
        <v xml:space="preserve">ℹ️  The entity identifier is a unique ID, that will enable identifying the company that has reported the information. The VSME Standard does not require any specific identifier. An entity identifier is required for the digital reporting. </v>
      </c>
      <c r="C478" t="s">
        <v>7409</v>
      </c>
      <c r="D478" s="55" t="s">
        <v>7410</v>
      </c>
      <c r="E478" s="55" t="s">
        <v>7411</v>
      </c>
      <c r="F478" s="55" t="s">
        <v>7412</v>
      </c>
      <c r="G478" s="55" t="s">
        <v>7413</v>
      </c>
    </row>
    <row r="479" spans="1:7" x14ac:dyDescent="0.25">
      <c r="A479" t="s">
        <v>7414</v>
      </c>
      <c r="B479" t="str">
        <f t="shared" si="8"/>
        <v>ℹ️ If VALUE INCONSISTENCY message appears on the right, please ensure that the reporting period end date is greater than the reporting period start date.</v>
      </c>
      <c r="C479" t="s">
        <v>7415</v>
      </c>
      <c r="D479" s="55" t="s">
        <v>7416</v>
      </c>
      <c r="E479" s="55" t="s">
        <v>7417</v>
      </c>
      <c r="F479" s="55" t="s">
        <v>7418</v>
      </c>
      <c r="G479" s="55" t="s">
        <v>7419</v>
      </c>
    </row>
    <row r="480" spans="1:7" x14ac:dyDescent="0.25">
      <c r="A480" t="s">
        <v>7420</v>
      </c>
      <c r="B480" t="str">
        <f t="shared" si="8"/>
        <v>ℹ️  Lists can be expanded using the little [+] button on the left.  If the number of rows is not sufficient, those can be added by right clicking the second row and selecting "Insert row".</v>
      </c>
      <c r="C480" t="s">
        <v>7421</v>
      </c>
      <c r="D480" s="55" t="s">
        <v>7422</v>
      </c>
      <c r="E480" s="55" t="s">
        <v>7423</v>
      </c>
      <c r="F480" s="55" t="s">
        <v>7424</v>
      </c>
      <c r="G480" s="55" t="s">
        <v>7425</v>
      </c>
    </row>
    <row r="481" spans="1:7" x14ac:dyDescent="0.25">
      <c r="A481" t="s">
        <v>7426</v>
      </c>
      <c r="B481" t="str">
        <f t="shared" si="8"/>
        <v>ℹ️ When "other" is chosen as undertaking legal form please fill the row below</v>
      </c>
      <c r="C481" t="s">
        <v>7427</v>
      </c>
      <c r="D481" s="55" t="s">
        <v>7428</v>
      </c>
      <c r="E481" s="55" t="s">
        <v>7429</v>
      </c>
      <c r="F481" s="55" t="s">
        <v>7430</v>
      </c>
      <c r="G481" s="55" t="s">
        <v>7431</v>
      </c>
    </row>
    <row r="482" spans="1:7" x14ac:dyDescent="0.25">
      <c r="A482" t="s">
        <v>7432</v>
      </c>
      <c r="B482" t="str">
        <f t="shared" si="8"/>
        <v>ℹ️  Please select a NACE code rather than a category else an ERROR message will appear.</v>
      </c>
      <c r="C482" t="s">
        <v>7433</v>
      </c>
      <c r="D482" s="55" t="s">
        <v>7434</v>
      </c>
      <c r="E482" s="55" t="s">
        <v>7435</v>
      </c>
      <c r="F482" s="55" t="s">
        <v>7436</v>
      </c>
      <c r="G482" s="55" t="s">
        <v>7437</v>
      </c>
    </row>
    <row r="483" spans="1:7" x14ac:dyDescent="0.25">
      <c r="A483" t="s">
        <v>7438</v>
      </c>
      <c r="B483" t="str">
        <f t="shared" si="8"/>
        <v>ℹ️  Please be careful to separate each street number and house number using the slash symbol "/" and not the comma ","</v>
      </c>
      <c r="C483" t="s">
        <v>7439</v>
      </c>
      <c r="D483" s="55" t="s">
        <v>7440</v>
      </c>
      <c r="E483" s="55" t="s">
        <v>7441</v>
      </c>
      <c r="F483" s="55" t="s">
        <v>7442</v>
      </c>
      <c r="G483" s="55" t="s">
        <v>7443</v>
      </c>
    </row>
    <row r="484" spans="1:7" x14ac:dyDescent="0.25">
      <c r="A484" t="s">
        <v>7444</v>
      </c>
      <c r="B484" t="str">
        <f t="shared" si="8"/>
        <v xml:space="preserve">ℹ️  Please note that the formula present in this cell may be overwritten in case the undertaking wants to directly provide the value. </v>
      </c>
      <c r="C484" t="s">
        <v>7445</v>
      </c>
      <c r="D484" s="55" t="s">
        <v>7446</v>
      </c>
      <c r="E484" s="55" t="s">
        <v>7447</v>
      </c>
      <c r="F484" s="55" t="s">
        <v>7448</v>
      </c>
      <c r="G484" s="55" t="s">
        <v>7449</v>
      </c>
    </row>
    <row r="485" spans="1:7" x14ac:dyDescent="0.25">
      <c r="A485" t="s">
        <v>7450</v>
      </c>
      <c r="B485" t="str">
        <f t="shared" si="8"/>
        <v>ℹ️  Scope 3 categories according to the GHG protocol might help to calculate the total Scope 3 GHG emissions. In case the undertaking wants to, it can directly provide the Total Scope 3 GHG emissions in the respective cell.</v>
      </c>
      <c r="C485" t="s">
        <v>7451</v>
      </c>
      <c r="D485" s="55" t="s">
        <v>7452</v>
      </c>
      <c r="E485" s="55" t="s">
        <v>7453</v>
      </c>
      <c r="F485" s="55" t="s">
        <v>7454</v>
      </c>
      <c r="G485" s="55" t="s">
        <v>7455</v>
      </c>
    </row>
    <row r="486" spans="1:7" x14ac:dyDescent="0.25">
      <c r="A486" t="s">
        <v>7456</v>
      </c>
      <c r="B486" t="str">
        <f t="shared" si="8"/>
        <v>ℹ️  If a validation related to value inconsistency is displayed, please select a site ID that is different from one of those previously selected.</v>
      </c>
      <c r="C486" t="s">
        <v>7457</v>
      </c>
      <c r="D486" s="55" t="s">
        <v>7458</v>
      </c>
      <c r="E486" s="55" t="s">
        <v>7459</v>
      </c>
      <c r="F486" s="55" t="s">
        <v>7460</v>
      </c>
      <c r="G486" s="55" t="s">
        <v>7461</v>
      </c>
    </row>
    <row r="487" spans="1:7" x14ac:dyDescent="0.25">
      <c r="A487" t="s">
        <v>7462</v>
      </c>
      <c r="B487" t="str">
        <f t="shared" si="8"/>
        <v>ℹ️  Please select a Type of waste (Hazardous or Non-Hazardous) rather than a category else an ERROR message will appear.</v>
      </c>
      <c r="C487" t="s">
        <v>7463</v>
      </c>
      <c r="D487" s="55" t="s">
        <v>7464</v>
      </c>
      <c r="E487" s="55" t="s">
        <v>7465</v>
      </c>
      <c r="F487" s="55" t="s">
        <v>7466</v>
      </c>
      <c r="G487" s="55" t="s">
        <v>7467</v>
      </c>
    </row>
    <row r="488" spans="1:7" ht="45" x14ac:dyDescent="0.25">
      <c r="A488" t="s">
        <v>7468</v>
      </c>
      <c r="B488" t="str">
        <f t="shared" si="8"/>
        <v xml:space="preserve">ℹ️  Please make sure that the total number of employees is the same as the one provided in the "General Information" sheet cell E55
</v>
      </c>
      <c r="C488" t="s">
        <v>7469</v>
      </c>
      <c r="D488" s="331" t="s">
        <v>7470</v>
      </c>
      <c r="E488" s="331" t="s">
        <v>7471</v>
      </c>
      <c r="F488" s="331" t="s">
        <v>7472</v>
      </c>
      <c r="G488" s="331" t="s">
        <v>7473</v>
      </c>
    </row>
    <row r="489" spans="1:7" x14ac:dyDescent="0.25">
      <c r="A489" t="s">
        <v>7474</v>
      </c>
      <c r="B489" t="str">
        <f t="shared" si="8"/>
        <v>ℹ️  The undertaking can modify the value in this cell as 2,000 hours is based on the assumption that one full-time worker works 2,000 hours per year. This figure may vary by country or sector, depending on national rules or collective bargaining agreements.</v>
      </c>
      <c r="C489" t="s">
        <v>7475</v>
      </c>
      <c r="D489" s="55" t="s">
        <v>7476</v>
      </c>
      <c r="E489" s="55" t="s">
        <v>7477</v>
      </c>
      <c r="F489" s="55" t="s">
        <v>7478</v>
      </c>
      <c r="G489" s="55" t="s">
        <v>7479</v>
      </c>
    </row>
    <row r="490" spans="1:7" x14ac:dyDescent="0.25">
      <c r="A490" t="s">
        <v>7480</v>
      </c>
      <c r="B490" t="str">
        <f t="shared" si="8"/>
        <v>ℹ️ Check EFRAG website for a non-exhaustive list of GHG calculators.</v>
      </c>
      <c r="C490" t="s">
        <v>7481</v>
      </c>
      <c r="D490" t="s">
        <v>7482</v>
      </c>
      <c r="E490" t="s">
        <v>7483</v>
      </c>
      <c r="F490" t="s">
        <v>7484</v>
      </c>
      <c r="G490" t="s">
        <v>7485</v>
      </c>
    </row>
  </sheetData>
  <autoFilter ref="A1:B407" xr:uid="{DA085A03-4878-4426-A2CC-5DD7C004193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F552C-077B-4406-AA24-E9FFBE74BCD2}">
  <sheetPr codeName="Sheet10"/>
  <dimension ref="A1:G26"/>
  <sheetViews>
    <sheetView workbookViewId="0"/>
  </sheetViews>
  <sheetFormatPr baseColWidth="10" defaultColWidth="8.85546875" defaultRowHeight="15" x14ac:dyDescent="0.25"/>
  <cols>
    <col min="1" max="1" width="21.42578125" bestFit="1" customWidth="1"/>
    <col min="2" max="2" width="59.5703125" bestFit="1" customWidth="1"/>
    <col min="3" max="3" width="31.42578125" bestFit="1" customWidth="1"/>
    <col min="4" max="4" width="89" customWidth="1"/>
    <col min="5" max="5" width="35.85546875" customWidth="1"/>
    <col min="6" max="6" width="26.5703125" customWidth="1"/>
    <col min="7" max="7" width="44.42578125" bestFit="1" customWidth="1"/>
  </cols>
  <sheetData>
    <row r="1" spans="1:7" x14ac:dyDescent="0.25">
      <c r="A1" t="s">
        <v>7486</v>
      </c>
      <c r="B1" t="str">
        <f>template_reporting_period_startdate &amp; " - " &amp; template_reporting_period_enddate</f>
        <v>2025-01-01 - 2025-12-31</v>
      </c>
      <c r="C1" t="s">
        <v>7487</v>
      </c>
      <c r="D1" t="s">
        <v>7488</v>
      </c>
      <c r="E1" t="s">
        <v>7489</v>
      </c>
      <c r="F1" t="s">
        <v>7490</v>
      </c>
      <c r="G1" t="s">
        <v>7491</v>
      </c>
    </row>
    <row r="2" spans="1:7" ht="14.1" customHeight="1" x14ac:dyDescent="0.25">
      <c r="A2" t="s">
        <v>7492</v>
      </c>
      <c r="B2" t="str">
        <f>template_reporting_period_startdate</f>
        <v>2025-01-01</v>
      </c>
      <c r="C2" t="s">
        <v>7493</v>
      </c>
      <c r="D2" s="223" t="str">
        <f>IF(AND('General Information'!$H$108=TRUE, 'General Information'!D109&lt;&gt;"", 'General Information'!E109&lt;&gt;"", 'General Information'!F109&lt;&gt;"", 'General Information'!G109&lt;&gt;""), _xlfn.WEBSERVICE("https://nominatim.openstreetmap.org/search?q=" &amp; 'General Information'!K109 &amp; "&amp;format=json&amp;polygon=1&amp;addressdetails=1"), "")</f>
        <v/>
      </c>
      <c r="E2" s="224" t="e">
        <f t="shared" ref="E2:E26" si="0">MID(D2,SEARCH("""lat"":""",D2)+7,SEARCH("""lon"":""",D2)-SEARCH("""lat"":""",D2)-9)</f>
        <v>#VALUE!</v>
      </c>
      <c r="F2" s="224" t="e">
        <f t="shared" ref="F2:F26" si="1">MID(D2, SEARCH("""lon"":""", D2) + 7, SEARCH("""class""", D2) - SEARCH("""lon"":""", D2) - 9)</f>
        <v>#VALUE!</v>
      </c>
      <c r="G2" t="e">
        <f t="shared" ref="G2:G26" si="2">E2 &amp; "," &amp; F2</f>
        <v>#VALUE!</v>
      </c>
    </row>
    <row r="3" spans="1:7" ht="15.6" customHeight="1" x14ac:dyDescent="0.25">
      <c r="A3" t="s">
        <v>7494</v>
      </c>
      <c r="B3" t="str">
        <f>template_reporting_period_enddate</f>
        <v>2025-12-31</v>
      </c>
      <c r="C3" t="s">
        <v>7495</v>
      </c>
      <c r="D3" s="223" t="str">
        <f>IF(AND('General Information'!$H$108=TRUE, 'General Information'!D110&lt;&gt;"", 'General Information'!E110&lt;&gt;"", 'General Information'!F110&lt;&gt;"", 'General Information'!G110&lt;&gt;""), _xlfn.WEBSERVICE("https://nominatim.openstreetmap.org/search?q=" &amp; 'General Information'!K110 &amp; "&amp;format=json&amp;polygon=1&amp;addressdetails=1"), "")</f>
        <v/>
      </c>
      <c r="E3" s="224" t="e">
        <f t="shared" si="0"/>
        <v>#VALUE!</v>
      </c>
      <c r="F3" s="224" t="e">
        <f t="shared" si="1"/>
        <v>#VALUE!</v>
      </c>
      <c r="G3" t="e">
        <f t="shared" si="2"/>
        <v>#VALUE!</v>
      </c>
    </row>
    <row r="4" spans="1:7" x14ac:dyDescent="0.25">
      <c r="D4" s="223" t="str">
        <f>IF(AND('General Information'!$H$108=TRUE, 'General Information'!D111&lt;&gt;"", 'General Information'!E111&lt;&gt;"", 'General Information'!F111&lt;&gt;"", 'General Information'!G111&lt;&gt;""), _xlfn.WEBSERVICE("https://nominatim.openstreetmap.org/search?q=" &amp; 'General Information'!K111 &amp; "&amp;format=json&amp;polygon=1&amp;addressdetails=1"), "")</f>
        <v/>
      </c>
      <c r="E4" s="224" t="e">
        <f t="shared" si="0"/>
        <v>#VALUE!</v>
      </c>
      <c r="F4" s="224" t="e">
        <f t="shared" si="1"/>
        <v>#VALUE!</v>
      </c>
      <c r="G4" t="e">
        <f t="shared" si="2"/>
        <v>#VALUE!</v>
      </c>
    </row>
    <row r="5" spans="1:7" x14ac:dyDescent="0.25">
      <c r="D5" s="223" t="str">
        <f>IF(AND('General Information'!$H$108=TRUE, 'General Information'!D112&lt;&gt;"", 'General Information'!E112&lt;&gt;"", 'General Information'!F112&lt;&gt;"", 'General Information'!G112&lt;&gt;""), _xlfn.WEBSERVICE("https://nominatim.openstreetmap.org/search?q=" &amp; 'General Information'!K112 &amp; "&amp;format=json&amp;polygon=1&amp;addressdetails=1"), "")</f>
        <v/>
      </c>
      <c r="E5" s="224" t="e">
        <f t="shared" si="0"/>
        <v>#VALUE!</v>
      </c>
      <c r="F5" s="224" t="e">
        <f t="shared" si="1"/>
        <v>#VALUE!</v>
      </c>
      <c r="G5" t="e">
        <f t="shared" si="2"/>
        <v>#VALUE!</v>
      </c>
    </row>
    <row r="6" spans="1:7" x14ac:dyDescent="0.25">
      <c r="D6" s="223" t="str">
        <f>IF(AND('General Information'!$H$108=TRUE, 'General Information'!D113&lt;&gt;"", 'General Information'!E113&lt;&gt;"", 'General Information'!F113&lt;&gt;"", 'General Information'!G113&lt;&gt;""), _xlfn.WEBSERVICE("https://nominatim.openstreetmap.org/search?q=" &amp; 'General Information'!K113 &amp; "&amp;format=json&amp;polygon=1&amp;addressdetails=1"), "")</f>
        <v/>
      </c>
      <c r="E6" s="224" t="e">
        <f t="shared" si="0"/>
        <v>#VALUE!</v>
      </c>
      <c r="F6" s="224" t="e">
        <f t="shared" si="1"/>
        <v>#VALUE!</v>
      </c>
      <c r="G6" t="e">
        <f t="shared" si="2"/>
        <v>#VALUE!</v>
      </c>
    </row>
    <row r="7" spans="1:7" x14ac:dyDescent="0.25">
      <c r="D7" s="223" t="str">
        <f>IF(AND('General Information'!$H$108=TRUE, 'General Information'!D114&lt;&gt;"", 'General Information'!E114&lt;&gt;"", 'General Information'!F114&lt;&gt;"", 'General Information'!G114&lt;&gt;""), _xlfn.WEBSERVICE("https://nominatim.openstreetmap.org/search?q=" &amp; 'General Information'!K114 &amp; "&amp;format=json&amp;polygon=1&amp;addressdetails=1"), "")</f>
        <v/>
      </c>
      <c r="E7" s="224" t="e">
        <f t="shared" si="0"/>
        <v>#VALUE!</v>
      </c>
      <c r="F7" s="224" t="e">
        <f t="shared" si="1"/>
        <v>#VALUE!</v>
      </c>
      <c r="G7" t="e">
        <f t="shared" si="2"/>
        <v>#VALUE!</v>
      </c>
    </row>
    <row r="8" spans="1:7" x14ac:dyDescent="0.25">
      <c r="D8" s="223" t="str">
        <f>IF(AND('General Information'!$H$108=TRUE, 'General Information'!D115&lt;&gt;"", 'General Information'!E115&lt;&gt;"", 'General Information'!F115&lt;&gt;"", 'General Information'!G115&lt;&gt;""), _xlfn.WEBSERVICE("https://nominatim.openstreetmap.org/search?q=" &amp; 'General Information'!K115 &amp; "&amp;format=json&amp;polygon=1&amp;addressdetails=1"), "")</f>
        <v/>
      </c>
      <c r="E8" s="224" t="e">
        <f t="shared" si="0"/>
        <v>#VALUE!</v>
      </c>
      <c r="F8" s="224" t="e">
        <f t="shared" si="1"/>
        <v>#VALUE!</v>
      </c>
      <c r="G8" t="e">
        <f t="shared" si="2"/>
        <v>#VALUE!</v>
      </c>
    </row>
    <row r="9" spans="1:7" x14ac:dyDescent="0.25">
      <c r="D9" s="223" t="str">
        <f>IF(AND('General Information'!$H$108=TRUE, 'General Information'!D116&lt;&gt;"", 'General Information'!E116&lt;&gt;"", 'General Information'!F116&lt;&gt;"", 'General Information'!G116&lt;&gt;""), _xlfn.WEBSERVICE("https://nominatim.openstreetmap.org/search?q=" &amp; 'General Information'!K116 &amp; "&amp;format=json&amp;polygon=1&amp;addressdetails=1"), "")</f>
        <v/>
      </c>
      <c r="E9" s="224" t="e">
        <f t="shared" si="0"/>
        <v>#VALUE!</v>
      </c>
      <c r="F9" s="224" t="e">
        <f t="shared" si="1"/>
        <v>#VALUE!</v>
      </c>
      <c r="G9" t="e">
        <f t="shared" si="2"/>
        <v>#VALUE!</v>
      </c>
    </row>
    <row r="10" spans="1:7" x14ac:dyDescent="0.25">
      <c r="D10" s="223" t="str">
        <f>IF(AND('General Information'!$H$108=TRUE, 'General Information'!D117&lt;&gt;"", 'General Information'!E117&lt;&gt;"", 'General Information'!F117&lt;&gt;"", 'General Information'!G117&lt;&gt;""), _xlfn.WEBSERVICE("https://nominatim.openstreetmap.org/search?q=" &amp; 'General Information'!K117 &amp; "&amp;format=json&amp;polygon=1&amp;addressdetails=1"), "")</f>
        <v/>
      </c>
      <c r="E10" s="224" t="e">
        <f t="shared" si="0"/>
        <v>#VALUE!</v>
      </c>
      <c r="F10" s="224" t="e">
        <f t="shared" si="1"/>
        <v>#VALUE!</v>
      </c>
      <c r="G10" t="e">
        <f t="shared" si="2"/>
        <v>#VALUE!</v>
      </c>
    </row>
    <row r="11" spans="1:7" x14ac:dyDescent="0.25">
      <c r="D11" s="223" t="str">
        <f>IF(AND('General Information'!$H$108=TRUE, 'General Information'!D118&lt;&gt;"", 'General Information'!E118&lt;&gt;"", 'General Information'!F118&lt;&gt;"", 'General Information'!G118&lt;&gt;""), _xlfn.WEBSERVICE("https://nominatim.openstreetmap.org/search?q=" &amp; 'General Information'!K118 &amp; "&amp;format=json&amp;polygon=1&amp;addressdetails=1"), "")</f>
        <v/>
      </c>
      <c r="E11" s="224" t="e">
        <f t="shared" si="0"/>
        <v>#VALUE!</v>
      </c>
      <c r="F11" s="224" t="e">
        <f t="shared" si="1"/>
        <v>#VALUE!</v>
      </c>
      <c r="G11" t="e">
        <f t="shared" si="2"/>
        <v>#VALUE!</v>
      </c>
    </row>
    <row r="12" spans="1:7" x14ac:dyDescent="0.25">
      <c r="D12" s="223" t="str">
        <f>IF(AND('General Information'!$H$108=TRUE, 'General Information'!D119&lt;&gt;"", 'General Information'!E119&lt;&gt;"", 'General Information'!F119&lt;&gt;"", 'General Information'!G119&lt;&gt;""), _xlfn.WEBSERVICE("https://nominatim.openstreetmap.org/search?q=" &amp; 'General Information'!K119 &amp; "&amp;format=json&amp;polygon=1&amp;addressdetails=1"), "")</f>
        <v/>
      </c>
      <c r="E12" s="224" t="e">
        <f t="shared" si="0"/>
        <v>#VALUE!</v>
      </c>
      <c r="F12" s="224" t="e">
        <f t="shared" si="1"/>
        <v>#VALUE!</v>
      </c>
      <c r="G12" t="e">
        <f t="shared" si="2"/>
        <v>#VALUE!</v>
      </c>
    </row>
    <row r="13" spans="1:7" x14ac:dyDescent="0.25">
      <c r="D13" s="223" t="str">
        <f>IF(AND('General Information'!$H$108=TRUE, 'General Information'!D120&lt;&gt;"", 'General Information'!E120&lt;&gt;"", 'General Information'!F120&lt;&gt;"", 'General Information'!G120&lt;&gt;""), _xlfn.WEBSERVICE("https://nominatim.openstreetmap.org/search?q=" &amp; 'General Information'!K120 &amp; "&amp;format=json&amp;polygon=1&amp;addressdetails=1"), "")</f>
        <v/>
      </c>
      <c r="E13" s="224" t="e">
        <f t="shared" si="0"/>
        <v>#VALUE!</v>
      </c>
      <c r="F13" s="224" t="e">
        <f t="shared" si="1"/>
        <v>#VALUE!</v>
      </c>
      <c r="G13" t="e">
        <f t="shared" si="2"/>
        <v>#VALUE!</v>
      </c>
    </row>
    <row r="14" spans="1:7" x14ac:dyDescent="0.25">
      <c r="D14" s="223" t="str">
        <f>IF(AND('General Information'!$H$108=TRUE, 'General Information'!D121&lt;&gt;"", 'General Information'!E121&lt;&gt;"", 'General Information'!F121&lt;&gt;"", 'General Information'!G121&lt;&gt;""), _xlfn.WEBSERVICE("https://nominatim.openstreetmap.org/search?q=" &amp; 'General Information'!K121 &amp; "&amp;format=json&amp;polygon=1&amp;addressdetails=1"), "")</f>
        <v/>
      </c>
      <c r="E14" s="224" t="e">
        <f t="shared" si="0"/>
        <v>#VALUE!</v>
      </c>
      <c r="F14" s="224" t="e">
        <f t="shared" si="1"/>
        <v>#VALUE!</v>
      </c>
      <c r="G14" t="e">
        <f t="shared" si="2"/>
        <v>#VALUE!</v>
      </c>
    </row>
    <row r="15" spans="1:7" x14ac:dyDescent="0.25">
      <c r="D15" s="223" t="str">
        <f>IF(AND('General Information'!$H$108=TRUE, 'General Information'!D122&lt;&gt;"", 'General Information'!E122&lt;&gt;"", 'General Information'!F122&lt;&gt;"", 'General Information'!G122&lt;&gt;""), _xlfn.WEBSERVICE("https://nominatim.openstreetmap.org/search?q=" &amp; 'General Information'!K122 &amp; "&amp;format=json&amp;polygon=1&amp;addressdetails=1"), "")</f>
        <v/>
      </c>
      <c r="E15" s="224" t="e">
        <f t="shared" si="0"/>
        <v>#VALUE!</v>
      </c>
      <c r="F15" s="224" t="e">
        <f t="shared" si="1"/>
        <v>#VALUE!</v>
      </c>
      <c r="G15" t="e">
        <f t="shared" si="2"/>
        <v>#VALUE!</v>
      </c>
    </row>
    <row r="16" spans="1:7" x14ac:dyDescent="0.25">
      <c r="D16" s="223" t="str">
        <f>IF(AND('General Information'!$H$108=TRUE, 'General Information'!D123&lt;&gt;"", 'General Information'!E123&lt;&gt;"", 'General Information'!F123&lt;&gt;"", 'General Information'!G123&lt;&gt;""), _xlfn.WEBSERVICE("https://nominatim.openstreetmap.org/search?q=" &amp; 'General Information'!K123 &amp; "&amp;format=json&amp;polygon=1&amp;addressdetails=1"), "")</f>
        <v/>
      </c>
      <c r="E16" s="224" t="e">
        <f t="shared" si="0"/>
        <v>#VALUE!</v>
      </c>
      <c r="F16" s="224" t="e">
        <f t="shared" si="1"/>
        <v>#VALUE!</v>
      </c>
      <c r="G16" t="e">
        <f t="shared" si="2"/>
        <v>#VALUE!</v>
      </c>
    </row>
    <row r="17" spans="4:7" x14ac:dyDescent="0.25">
      <c r="D17" s="223" t="str">
        <f>IF(AND('General Information'!$H$108=TRUE, 'General Information'!D124&lt;&gt;"", 'General Information'!E124&lt;&gt;"", 'General Information'!F124&lt;&gt;"", 'General Information'!G124&lt;&gt;""), _xlfn.WEBSERVICE("https://nominatim.openstreetmap.org/search?q=" &amp; 'General Information'!K124 &amp; "&amp;format=json&amp;polygon=1&amp;addressdetails=1"), "")</f>
        <v/>
      </c>
      <c r="E17" s="224" t="e">
        <f t="shared" si="0"/>
        <v>#VALUE!</v>
      </c>
      <c r="F17" s="224" t="e">
        <f t="shared" si="1"/>
        <v>#VALUE!</v>
      </c>
      <c r="G17" t="e">
        <f t="shared" si="2"/>
        <v>#VALUE!</v>
      </c>
    </row>
    <row r="18" spans="4:7" x14ac:dyDescent="0.25">
      <c r="D18" s="223" t="str">
        <f>IF(AND('General Information'!$H$108=TRUE, 'General Information'!D125&lt;&gt;"", 'General Information'!E125&lt;&gt;"", 'General Information'!F125&lt;&gt;"", 'General Information'!G125&lt;&gt;""), _xlfn.WEBSERVICE("https://nominatim.openstreetmap.org/search?q=" &amp; 'General Information'!K125 &amp; "&amp;format=json&amp;polygon=1&amp;addressdetails=1"), "")</f>
        <v/>
      </c>
      <c r="E18" s="224" t="e">
        <f t="shared" si="0"/>
        <v>#VALUE!</v>
      </c>
      <c r="F18" s="224" t="e">
        <f t="shared" si="1"/>
        <v>#VALUE!</v>
      </c>
      <c r="G18" t="e">
        <f t="shared" si="2"/>
        <v>#VALUE!</v>
      </c>
    </row>
    <row r="19" spans="4:7" x14ac:dyDescent="0.25">
      <c r="D19" s="223" t="str">
        <f>IF(AND('General Information'!$H$108=TRUE, 'General Information'!D126&lt;&gt;"", 'General Information'!E126&lt;&gt;"", 'General Information'!F126&lt;&gt;"", 'General Information'!G126&lt;&gt;""), _xlfn.WEBSERVICE("https://nominatim.openstreetmap.org/search?q=" &amp; 'General Information'!K126 &amp; "&amp;format=json&amp;polygon=1&amp;addressdetails=1"), "")</f>
        <v/>
      </c>
      <c r="E19" s="224" t="e">
        <f t="shared" si="0"/>
        <v>#VALUE!</v>
      </c>
      <c r="F19" s="224" t="e">
        <f t="shared" si="1"/>
        <v>#VALUE!</v>
      </c>
      <c r="G19" t="e">
        <f t="shared" si="2"/>
        <v>#VALUE!</v>
      </c>
    </row>
    <row r="20" spans="4:7" x14ac:dyDescent="0.25">
      <c r="D20" s="223" t="str">
        <f>IF(AND('General Information'!$H$108=TRUE, 'General Information'!D127&lt;&gt;"", 'General Information'!E127&lt;&gt;"", 'General Information'!F127&lt;&gt;"", 'General Information'!G127&lt;&gt;""), _xlfn.WEBSERVICE("https://nominatim.openstreetmap.org/search?q=" &amp; 'General Information'!K127 &amp; "&amp;format=json&amp;polygon=1&amp;addressdetails=1"), "")</f>
        <v/>
      </c>
      <c r="E20" s="224" t="e">
        <f t="shared" si="0"/>
        <v>#VALUE!</v>
      </c>
      <c r="F20" s="224" t="e">
        <f t="shared" si="1"/>
        <v>#VALUE!</v>
      </c>
      <c r="G20" t="e">
        <f t="shared" si="2"/>
        <v>#VALUE!</v>
      </c>
    </row>
    <row r="21" spans="4:7" x14ac:dyDescent="0.25">
      <c r="D21" s="223" t="str">
        <f>IF(AND('General Information'!$H$108=TRUE, 'General Information'!D128&lt;&gt;"", 'General Information'!E128&lt;&gt;"", 'General Information'!F128&lt;&gt;"", 'General Information'!G128&lt;&gt;""), _xlfn.WEBSERVICE("https://nominatim.openstreetmap.org/search?q=" &amp; 'General Information'!K128 &amp; "&amp;format=json&amp;polygon=1&amp;addressdetails=1"), "")</f>
        <v/>
      </c>
      <c r="E21" s="224" t="e">
        <f t="shared" si="0"/>
        <v>#VALUE!</v>
      </c>
      <c r="F21" s="224" t="e">
        <f t="shared" si="1"/>
        <v>#VALUE!</v>
      </c>
      <c r="G21" t="e">
        <f t="shared" si="2"/>
        <v>#VALUE!</v>
      </c>
    </row>
    <row r="22" spans="4:7" x14ac:dyDescent="0.25">
      <c r="D22" s="223" t="str">
        <f>IF(AND('General Information'!$H$108=TRUE, 'General Information'!D129&lt;&gt;"", 'General Information'!E129&lt;&gt;"", 'General Information'!F129&lt;&gt;"", 'General Information'!G129&lt;&gt;""), _xlfn.WEBSERVICE("https://nominatim.openstreetmap.org/search?q=" &amp; 'General Information'!K129 &amp; "&amp;format=json&amp;polygon=1&amp;addressdetails=1"), "")</f>
        <v/>
      </c>
      <c r="E22" s="224" t="e">
        <f t="shared" si="0"/>
        <v>#VALUE!</v>
      </c>
      <c r="F22" s="224" t="e">
        <f t="shared" si="1"/>
        <v>#VALUE!</v>
      </c>
      <c r="G22" t="e">
        <f t="shared" si="2"/>
        <v>#VALUE!</v>
      </c>
    </row>
    <row r="23" spans="4:7" x14ac:dyDescent="0.25">
      <c r="D23" s="223" t="str">
        <f>IF(AND('General Information'!$H$108=TRUE, 'General Information'!D130&lt;&gt;"", 'General Information'!E130&lt;&gt;"", 'General Information'!F130&lt;&gt;"", 'General Information'!G130&lt;&gt;""), _xlfn.WEBSERVICE("https://nominatim.openstreetmap.org/search?q=" &amp; 'General Information'!K130 &amp; "&amp;format=json&amp;polygon=1&amp;addressdetails=1"), "")</f>
        <v/>
      </c>
      <c r="E23" s="224" t="e">
        <f t="shared" si="0"/>
        <v>#VALUE!</v>
      </c>
      <c r="F23" s="224" t="e">
        <f t="shared" si="1"/>
        <v>#VALUE!</v>
      </c>
      <c r="G23" t="e">
        <f t="shared" si="2"/>
        <v>#VALUE!</v>
      </c>
    </row>
    <row r="24" spans="4:7" x14ac:dyDescent="0.25">
      <c r="D24" s="223" t="str">
        <f>IF(AND('General Information'!$H$108=TRUE, 'General Information'!D131&lt;&gt;"", 'General Information'!E131&lt;&gt;"", 'General Information'!F131&lt;&gt;"", 'General Information'!G131&lt;&gt;""), _xlfn.WEBSERVICE("https://nominatim.openstreetmap.org/search?q=" &amp; 'General Information'!K131 &amp; "&amp;format=json&amp;polygon=1&amp;addressdetails=1"), "")</f>
        <v/>
      </c>
      <c r="E24" s="224" t="e">
        <f t="shared" si="0"/>
        <v>#VALUE!</v>
      </c>
      <c r="F24" s="224" t="e">
        <f t="shared" si="1"/>
        <v>#VALUE!</v>
      </c>
      <c r="G24" t="e">
        <f t="shared" si="2"/>
        <v>#VALUE!</v>
      </c>
    </row>
    <row r="25" spans="4:7" x14ac:dyDescent="0.25">
      <c r="D25" s="223" t="str">
        <f>IF(AND('General Information'!$H$108=TRUE, 'General Information'!D132&lt;&gt;"", 'General Information'!E132&lt;&gt;"", 'General Information'!F132&lt;&gt;"", 'General Information'!G132&lt;&gt;""), _xlfn.WEBSERVICE("https://nominatim.openstreetmap.org/search?q=" &amp; 'General Information'!K132 &amp; "&amp;format=json&amp;polygon=1&amp;addressdetails=1"), "")</f>
        <v/>
      </c>
      <c r="E25" s="224" t="e">
        <f t="shared" si="0"/>
        <v>#VALUE!</v>
      </c>
      <c r="F25" s="224" t="e">
        <f t="shared" si="1"/>
        <v>#VALUE!</v>
      </c>
      <c r="G25" t="e">
        <f t="shared" si="2"/>
        <v>#VALUE!</v>
      </c>
    </row>
    <row r="26" spans="4:7" x14ac:dyDescent="0.25">
      <c r="D26" s="223" t="str">
        <f>IF(AND('General Information'!$H$108=TRUE, 'General Information'!D133&lt;&gt;"", 'General Information'!E133&lt;&gt;"", 'General Information'!F133&lt;&gt;"", 'General Information'!G133&lt;&gt;""), _xlfn.WEBSERVICE("https://nominatim.openstreetmap.org/search?q=" &amp; 'General Information'!K133 &amp; "&amp;format=json&amp;polygon=1&amp;addressdetails=1"), "")</f>
        <v/>
      </c>
      <c r="E26" s="224" t="e">
        <f t="shared" si="0"/>
        <v>#VALUE!</v>
      </c>
      <c r="F26" s="224" t="e">
        <f t="shared" si="1"/>
        <v>#VALUE!</v>
      </c>
      <c r="G26" t="e">
        <f t="shared" si="2"/>
        <v>#VALUE!</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0d60415-495c-46f3-90ea-183767dd8c13">
      <Terms xmlns="http://schemas.microsoft.com/office/infopath/2007/PartnerControls"/>
    </lcf76f155ced4ddcb4097134ff3c332f>
    <TaxCatchAll xmlns="3d552fab-b37e-4152-a723-de73bc4b68f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CFFA21694C9D42A11653609814C878" ma:contentTypeVersion="11" ma:contentTypeDescription="Crée un document." ma:contentTypeScope="" ma:versionID="56d0455abe5ced441255388f62c12dde">
  <xsd:schema xmlns:xsd="http://www.w3.org/2001/XMLSchema" xmlns:xs="http://www.w3.org/2001/XMLSchema" xmlns:p="http://schemas.microsoft.com/office/2006/metadata/properties" xmlns:ns2="a0d60415-495c-46f3-90ea-183767dd8c13" xmlns:ns3="3d552fab-b37e-4152-a723-de73bc4b68f0" targetNamespace="http://schemas.microsoft.com/office/2006/metadata/properties" ma:root="true" ma:fieldsID="b12d54907e7b20d9c80bb2996f0a5cf4" ns2:_="" ns3:_="">
    <xsd:import namespace="a0d60415-495c-46f3-90ea-183767dd8c13"/>
    <xsd:import namespace="3d552fab-b37e-4152-a723-de73bc4b68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d60415-495c-46f3-90ea-183767dd8c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be849ee4-1b26-44b0-ace9-40685873c28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552fab-b37e-4152-a723-de73bc4b68f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078983d-189c-4b2d-8b94-46ff07321db1}" ma:internalName="TaxCatchAll" ma:showField="CatchAllData" ma:web="3d552fab-b37e-4152-a723-de73bc4b6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AEBA6F-9411-4923-AA77-FC83D4C0025F}">
  <ds:schemaRefs>
    <ds:schemaRef ds:uri="http://schemas.microsoft.com/sharepoint/v3/contenttype/forms"/>
  </ds:schemaRefs>
</ds:datastoreItem>
</file>

<file path=customXml/itemProps2.xml><?xml version="1.0" encoding="utf-8"?>
<ds:datastoreItem xmlns:ds="http://schemas.openxmlformats.org/officeDocument/2006/customXml" ds:itemID="{F23942F3-16A5-4815-B8A9-F6DE569DC588}">
  <ds:schemaRefs>
    <ds:schemaRef ds:uri="http://schemas.microsoft.com/office/2006/metadata/properties"/>
    <ds:schemaRef ds:uri="http://schemas.microsoft.com/office/infopath/2007/PartnerControls"/>
    <ds:schemaRef ds:uri="a0d60415-495c-46f3-90ea-183767dd8c13"/>
    <ds:schemaRef ds:uri="3d552fab-b37e-4152-a723-de73bc4b68f0"/>
  </ds:schemaRefs>
</ds:datastoreItem>
</file>

<file path=customXml/itemProps3.xml><?xml version="1.0" encoding="utf-8"?>
<ds:datastoreItem xmlns:ds="http://schemas.openxmlformats.org/officeDocument/2006/customXml" ds:itemID="{6AD40A8A-7879-4A0E-AA88-FA6C803D53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d60415-495c-46f3-90ea-183767dd8c13"/>
    <ds:schemaRef ds:uri="3d552fab-b37e-4152-a723-de73bc4b6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Feuilles de calcul</vt:lpstr>
      </vt:variant>
      <vt:variant>
        <vt:i4>10</vt:i4>
      </vt:variant>
      <vt:variant>
        <vt:lpstr>Plages nommées</vt:lpstr>
      </vt:variant>
      <vt:variant>
        <vt:i4>780</vt:i4>
      </vt:variant>
    </vt:vector>
  </HeadingPairs>
  <TitlesOfParts>
    <vt:vector size="790" baseType="lpstr">
      <vt:lpstr>Introduction</vt:lpstr>
      <vt:lpstr>Table of Contents &amp; Validation</vt:lpstr>
      <vt:lpstr>General Information</vt:lpstr>
      <vt:lpstr>Environmental Disclosures</vt:lpstr>
      <vt:lpstr>Social Disclosures</vt:lpstr>
      <vt:lpstr>Governance Disclosures</vt:lpstr>
      <vt:lpstr>Licence</vt:lpstr>
      <vt:lpstr>Enumeration Lists</vt:lpstr>
      <vt:lpstr>Translations</vt:lpstr>
      <vt:lpstr>Technical Sheet</vt:lpstr>
      <vt:lpstr>AddressOfSite</vt:lpstr>
      <vt:lpstr>AmountOfEmissionsTable</vt:lpstr>
      <vt:lpstr>AmountOfEmissionToAir</vt:lpstr>
      <vt:lpstr>AmountOfEmissionToAir_unit</vt:lpstr>
      <vt:lpstr>AmountOfEmissionToSoil</vt:lpstr>
      <vt:lpstr>AmountOfEmissionToSoil_unit</vt:lpstr>
      <vt:lpstr>AmountOfEmissionToWater</vt:lpstr>
      <vt:lpstr>AmountOfEmissionToWater_unit</vt:lpstr>
      <vt:lpstr>AmountOfWaterWithdrawnAtSitesLocatedInAreasOfHighWaterStress</vt:lpstr>
      <vt:lpstr>AreaOfSiteInBiodiversitySensitiveArea</vt:lpstr>
      <vt:lpstr>AreaOfSiteInBiodiversitySensitiveArea_unit</vt:lpstr>
      <vt:lpstr>Assets</vt:lpstr>
      <vt:lpstr>AverageNumberOfAnnualTrainingHoursPerFemaleEmployee</vt:lpstr>
      <vt:lpstr>AverageNumberOfAnnualTrainingHoursPerMaleEmployee</vt:lpstr>
      <vt:lpstr>AverageNumberOfAnnualTrainingHoursPerNonReportedGenderEmployee</vt:lpstr>
      <vt:lpstr>AverageNumberOfAnnualTrainingHoursPerOtherGenderEmployee</vt:lpstr>
      <vt:lpstr>BaselineYearMember</vt:lpstr>
      <vt:lpstr>BasisForPreparation</vt:lpstr>
      <vt:lpstr>BasisForReporting</vt:lpstr>
      <vt:lpstr>BreakdownOfAnnualMassFlowOfRelevantMaterialsUsedByTheUndertakingHypercube</vt:lpstr>
      <vt:lpstr>BreakdownOfEnergyConsumptionAxis</vt:lpstr>
      <vt:lpstr>BreakdownOfEnergyConsumptionTable</vt:lpstr>
      <vt:lpstr>CityOfSite</vt:lpstr>
      <vt:lpstr>CountryOfEmploymentContractAxis</vt:lpstr>
      <vt:lpstr>CountryOfPrimaryOperationsAndLocationOfSignificantAssets</vt:lpstr>
      <vt:lpstr>CountryOfSite</vt:lpstr>
      <vt:lpstr>DateOfAdoptionOfTransitionPlanForUndertakingNotHavingAdoptedTransitionPlanYet</vt:lpstr>
      <vt:lpstr>DescriptionOfActionsTakeToAddressTheConfirmedIncidents</vt:lpstr>
      <vt:lpstr>DescriptionOfATargetRelatedToAPolicy</vt:lpstr>
      <vt:lpstr>DescriptionOfATransitionPlanForClimateChangeMitigationIncludingAnExplanationOfHowItIsContributingToReduceGhgEmissions</vt:lpstr>
      <vt:lpstr>DescriptionOfClimateRelatedHazardsAndClimateRelatedTransitionEvents</vt:lpstr>
      <vt:lpstr>DescriptionOfHowCircularEconomyPrinciplesAreApplied</vt:lpstr>
      <vt:lpstr>DescriptionOfKeyElementsOfStrategyThatRelatesToOrAffectsSustainabilityIssues</vt:lpstr>
      <vt:lpstr>DescriptionOfLimitsToTheDistributionOfProfitsConnectedToTheMutualisticNatureOrToTheNatureOfTheActivitiesConsistingInServicesOfGeneralEconomicInterestSGEI</vt:lpstr>
      <vt:lpstr>DescriptionOfMainBusinessRelationships</vt:lpstr>
      <vt:lpstr>DescriptionOfPracticesPoliciesAndOrFutureInitiatives</vt:lpstr>
      <vt:lpstr>DescriptionOfSignificantGroupsOfProductsAndOrServicesOffered</vt:lpstr>
      <vt:lpstr>DescriptionOfSignificantMarketsTheUndertakingOperatesIn</vt:lpstr>
      <vt:lpstr>DescriptionOfSustainabilityRelatedCertificationsOrLabels</vt:lpstr>
      <vt:lpstr>DescriptionOfTheEffectiveParticipationOfWorkersUsersOrOtherInterestedPartiesOrCommunitiesInGovernance</vt:lpstr>
      <vt:lpstr>DisclosureOfAnyOtherEnvironmentalAndOrEntitySpecificEnvironmentalDisclosures</vt:lpstr>
      <vt:lpstr>DisclosureOfAnyOtherGeneralAndOrEntitySpecificInformation</vt:lpstr>
      <vt:lpstr>DisclosureOfAnyOtherGovernanceAndOrEntitySpecificGovernanceDisclosures</vt:lpstr>
      <vt:lpstr>DisclosureOfAnyOtherSocialAndOrEntitySpecificSocialDisclosures</vt:lpstr>
      <vt:lpstr>DisclosureOfHowItHasAssessedTheExposureAndSensitivityOfItsAssetsActivitiesAndValueChainToTheseHazardsAndTransitionEvents</vt:lpstr>
      <vt:lpstr>DisclosureOfListOfMainActionsTheEntitySeeksInOrderToAchieveItsTargets</vt:lpstr>
      <vt:lpstr>DisclosureOfWhetherItHasUndertakenClimateChangeAdaptationActionsForAnyClimateRelatedHazardsAndTransitionEvents</vt:lpstr>
      <vt:lpstr>EmployeeCountingMethodology</vt:lpstr>
      <vt:lpstr>EmployeesReceivePayEqualOrAboveMinimumWageDeterminedByNationalLawOrCollectiveAgreement</vt:lpstr>
      <vt:lpstr>EmployeeTurnoverRate</vt:lpstr>
      <vt:lpstr>EnergyConsumptionFromElectricity_NonRenewableEnergyMember</vt:lpstr>
      <vt:lpstr>EnergyConsumptionFromElectricity_RenewableEnergyMember</vt:lpstr>
      <vt:lpstr>EnergyConsumptionFromElectricity_TotalRenewableAndNonRenewableEnergyMember</vt:lpstr>
      <vt:lpstr>EnergyConsumptionFromFuels_NonRenewableEnergyMember</vt:lpstr>
      <vt:lpstr>EnergyConsumptionFromFuels_RenewableEnergyMember</vt:lpstr>
      <vt:lpstr>EnergyConsumptionFromFuels_TotalRenewableAndNonRenewableEnergyMember</vt:lpstr>
      <vt:lpstr>EnergyConsumptionFromSelfGeneratedElectricity_NonRenewableEnergyMember</vt:lpstr>
      <vt:lpstr>EnergyConsumptionFromSelfGeneratedElectricity_RenewableEnergyMember</vt:lpstr>
      <vt:lpstr>EnergyConsumptionFromSelfGeneratedElectricity_TotalRenewableAndNonRenewableEnergyMember</vt:lpstr>
      <vt:lpstr>enum_B2</vt:lpstr>
      <vt:lpstr>enum_employee_methodology</vt:lpstr>
      <vt:lpstr>enum_ImplementationStatus</vt:lpstr>
      <vt:lpstr>enum_ListBiodiversityArea</vt:lpstr>
      <vt:lpstr>enum_ListCountiesCode</vt:lpstr>
      <vt:lpstr>enum_ListCountriesName</vt:lpstr>
      <vt:lpstr>enum_ListDays</vt:lpstr>
      <vt:lpstr>enum_ListHectM2</vt:lpstr>
      <vt:lpstr>enum_ListIdentifier</vt:lpstr>
      <vt:lpstr>enum_ListLegalForms</vt:lpstr>
      <vt:lpstr>enum_ListMediumOfRelease</vt:lpstr>
      <vt:lpstr>enum_ListMonth</vt:lpstr>
      <vt:lpstr>enum_ListNACECategories</vt:lpstr>
      <vt:lpstr>enum_ListNACECode</vt:lpstr>
      <vt:lpstr>enum_ListNACETechnicalName</vt:lpstr>
      <vt:lpstr>enum_ListOfCurrencies</vt:lpstr>
      <vt:lpstr>enum_ListOfFutureYears</vt:lpstr>
      <vt:lpstr>enum_ListOfPastYears</vt:lpstr>
      <vt:lpstr>enum_ListOmittedDisclosures</vt:lpstr>
      <vt:lpstr>enum_ListOmittedDisclosuresWithNone</vt:lpstr>
      <vt:lpstr>enum_ListPollutants</vt:lpstr>
      <vt:lpstr>enum_ListSustainabilityIssues</vt:lpstr>
      <vt:lpstr>enum_ListTypeOfWastes</vt:lpstr>
      <vt:lpstr>enum_ListUnitMeasurement</vt:lpstr>
      <vt:lpstr>enum_ListUnitMeasurement_mass_only</vt:lpstr>
      <vt:lpstr>enum_ListWasteCategories</vt:lpstr>
      <vt:lpstr>enum_ListYear</vt:lpstr>
      <vt:lpstr>enum_ListYesNo</vt:lpstr>
      <vt:lpstr>FemaleToMaleRatioAtManagementLevelForTheReportingPeriod</vt:lpstr>
      <vt:lpstr>FinancialInvestmentInTheCapitalOrAssetsOfSocialEconomyEntities</vt:lpstr>
      <vt:lpstr>GenderDiversityRatioInGovernanceBody</vt:lpstr>
      <vt:lpstr>GPSLocationOfSite</vt:lpstr>
      <vt:lpstr>GreenhouseGasEmissionReductionTargetBaseYear</vt:lpstr>
      <vt:lpstr>GreenhouseGasEmissionReductionTargetYear</vt:lpstr>
      <vt:lpstr>GrossLocationBasedScope2GreenhouseGasEmissions</vt:lpstr>
      <vt:lpstr>GrossLocationBasedScope2GreenhouseGasEmissions_BaselineYearMember</vt:lpstr>
      <vt:lpstr>GrossLocationBasedScope2GreenhouseGasEmissions_TargetYearMember</vt:lpstr>
      <vt:lpstr>GrossMarketBasedScope2GreenhouseGasEmissions</vt:lpstr>
      <vt:lpstr>GrossMarketBasedScope2GreenhouseGasEmissions_BaselineYearMember</vt:lpstr>
      <vt:lpstr>GrossMarketBasedScope2GreenhouseGasEmissions_TargetYearMember</vt:lpstr>
      <vt:lpstr>GrossScope1GreenhouseGasEmissions</vt:lpstr>
      <vt:lpstr>GrossScope1GreenhouseGasEmissions_BaselineYearMember</vt:lpstr>
      <vt:lpstr>GrossScope1GreenhouseGasEmissions_TargetYearMember</vt:lpstr>
      <vt:lpstr>GrossScope3GreenhouseGasEmissions_BaselineYearMember</vt:lpstr>
      <vt:lpstr>GrossScope3GreenhouseGasEmissions_CurrentlyStatedMember</vt:lpstr>
      <vt:lpstr>GrossScope3GreenhouseGasEmissions_TargetYearMember</vt:lpstr>
      <vt:lpstr>IdentifierOfMaterialTypedAxis</vt:lpstr>
      <vt:lpstr>IdentifierOfSitesInBiodiversitySensitiveAreasTypedAxis</vt:lpstr>
      <vt:lpstr>IdentifierOfSiteTypedAxis</vt:lpstr>
      <vt:lpstr>IdentifierOfSubsidiaryTypedAxis</vt:lpstr>
      <vt:lpstr>LinkToPreviousReportContainingDisclosuresThatRemainUnchanged</vt:lpstr>
      <vt:lpstr>ListOfDisclosuresForWhichNoChangesAreReportedComparedToThePreviousPeriodReporting</vt:lpstr>
      <vt:lpstr>ListOfOmittedDisclosuresDeemedToBeClassifiedOrSensitiveInformation</vt:lpstr>
      <vt:lpstr>ListOfSitesTable</vt:lpstr>
      <vt:lpstr>ListOfSubsidiaryTable</vt:lpstr>
      <vt:lpstr>MostSeniorLevelAccountableForImplementationOfPolicies</vt:lpstr>
      <vt:lpstr>NaceSectorClassificationCodes</vt:lpstr>
      <vt:lpstr>NameOfMaterialUsed</vt:lpstr>
      <vt:lpstr>NameOfTheSubsidiary</vt:lpstr>
      <vt:lpstr>NumberOfEmployees</vt:lpstr>
      <vt:lpstr>NumberOfEmployeesForCountryOfEmploymentContract</vt:lpstr>
      <vt:lpstr>NumberOfEmployeesForCountryOfEmploymentContractTable</vt:lpstr>
      <vt:lpstr>NumberOfFatalitiesAsAResultOfWorkRelatedInjuriesAndWorkRelatedIllHealth</vt:lpstr>
      <vt:lpstr>NumberOfFemaleEmployees</vt:lpstr>
      <vt:lpstr>NumberOfMaleEmployees</vt:lpstr>
      <vt:lpstr>NumberOfNonReportedGenderEmployees</vt:lpstr>
      <vt:lpstr>NumberOfOtherGenderEmployees</vt:lpstr>
      <vt:lpstr>NumberOfPermanentContractEmployees</vt:lpstr>
      <vt:lpstr>NumberOfRecordableWorkRelatedAccidentsInTheReportingPeriod</vt:lpstr>
      <vt:lpstr>NumberOfTemporaryContractEmployees</vt:lpstr>
      <vt:lpstr>OtherUndertakingsLegalForm</vt:lpstr>
      <vt:lpstr>PercentageOfEmployeesCoveredByCollectiveBargainingAgreements</vt:lpstr>
      <vt:lpstr>PostalCodeOfSite</vt:lpstr>
      <vt:lpstr>PotentialAdverseEffectsOfClimateRisksThatMayAffectItsFinancialPerformanceOrBusinessOperationsInTheShortMediumOrLongTermIndicatingWhetherItAssessesTheRisksToBeHighMediumOrLow</vt:lpstr>
      <vt:lpstr>PracticePolicyAndOrFutureInitiativeIsPubliclyAvailable</vt:lpstr>
      <vt:lpstr>PubliclyAvailableDisclosure</vt:lpstr>
      <vt:lpstr>RateOfRecordableWorkRelatedAccidentsInTheReportingPeriod</vt:lpstr>
      <vt:lpstr>RegisteredAddressOfTheSubsidiary</vt:lpstr>
      <vt:lpstr>ReportContainsDisclosuresFromThePreviousReportingPeriodThatRemainUnchanged</vt:lpstr>
      <vt:lpstr>RevenueDerivedFromChemicalProduction</vt:lpstr>
      <vt:lpstr>RevenueDerivedFromCoal</vt:lpstr>
      <vt:lpstr>RevenueDerivedFromControversialWeaponsAntiPersonnelMinesClusterMunitionsChemicalWeaponsAndBiologicalWeapons</vt:lpstr>
      <vt:lpstr>RevenueDerivedFromCultivationAndProductionOfTobacco</vt:lpstr>
      <vt:lpstr>RevenueDerivedFromGas</vt:lpstr>
      <vt:lpstr>RevenueDerivedFromOil</vt:lpstr>
      <vt:lpstr>Scope1AndScope2GreenhouseGasEmissionsIntensityValueLocationBased</vt:lpstr>
      <vt:lpstr>Scope1AndScope2GreenhouseGasEmissionsIntensityValueMarketBased</vt:lpstr>
      <vt:lpstr>SiteLocatedInABiodiversitySensitiveArea</vt:lpstr>
      <vt:lpstr>SiteLocatedNearABiodiversitySensitiveArea</vt:lpstr>
      <vt:lpstr>SitesInBiodiversitySensitiveAreasTable</vt:lpstr>
      <vt:lpstr>SpecificationOfAnyConfirmedIncidentInvolvingWorkersInTheValueChainAffectedCommunitiesConsumersAndEndUsers</vt:lpstr>
      <vt:lpstr>SpecificationOfOtherHumanRightsRelatedToTheConfirmedIncident</vt:lpstr>
      <vt:lpstr>SpecificationOfOtherTypesOfContentCoveredByTheCodeOfConductOrHumanRightsPolicy</vt:lpstr>
      <vt:lpstr>SustainabilityIssueAddressedByPracticePolicyAndOrFutureInitiative</vt:lpstr>
      <vt:lpstr>TargetYearMember</vt:lpstr>
      <vt:lpstr>template_b1_basis_for_preparation_and_other_undertakings_general_information</vt:lpstr>
      <vt:lpstr>template_b1_disclosure_of_sustainability_related_certifications_or_labels</vt:lpstr>
      <vt:lpstr>template_b1_list_of_sites</vt:lpstr>
      <vt:lpstr>template_b1_list_of_subsidiaries</vt:lpstr>
      <vt:lpstr>template_b10_workforce_remuneration_collective_bargaining_and_training</vt:lpstr>
      <vt:lpstr>template_b11_convictions_and_fines_for_corruption_and_bribery</vt:lpstr>
      <vt:lpstr>template_b2_cooperative_specific_disclosures</vt:lpstr>
      <vt:lpstr>template_b2_practices_policies_and_future_initiatives_for_transitioning_towards_a_more_sustainable_economy</vt:lpstr>
      <vt:lpstr>template_b3_breakdown_of_energy_consumption_in_MWh</vt:lpstr>
      <vt:lpstr>template_b3_estimated_greenhouse_gas_emissions_considering_the_GHG_protocol_version_2004_in_tCO2e</vt:lpstr>
      <vt:lpstr>template_b3_greenhouse_gas_emission_intensity_per_turnover</vt:lpstr>
      <vt:lpstr>template_b3_total_energy_consumption_in_MWh</vt:lpstr>
      <vt:lpstr>template_b4_pollution_of_air_water_and_soil</vt:lpstr>
      <vt:lpstr>template_b5_biodiversity_land_use</vt:lpstr>
      <vt:lpstr>template_b5_sites_in_biodiversity_sensitive_areas</vt:lpstr>
      <vt:lpstr>template_b6_water_consumption</vt:lpstr>
      <vt:lpstr>template_b6_water_withdrawal</vt:lpstr>
      <vt:lpstr>template_b7_annual_mass_flow_of_relevant_materials_used</vt:lpstr>
      <vt:lpstr>template_b7_description_of_circular_economy_principles</vt:lpstr>
      <vt:lpstr>template_b7_waste_generated</vt:lpstr>
      <vt:lpstr>template_b8_workforce_general_characteristics_country_of_employment</vt:lpstr>
      <vt:lpstr>template_b8_workforce_general_characteristics_gender</vt:lpstr>
      <vt:lpstr>template_b8_workforce_general_characteristics_turnover_rate</vt:lpstr>
      <vt:lpstr>template_b8_workforce_general_characteristics_type_of_contract</vt:lpstr>
      <vt:lpstr>template_b9_workforce_health_and_safety</vt:lpstr>
      <vt:lpstr>template_c1_strategy_business_model_and_sustainability</vt:lpstr>
      <vt:lpstr>template_c2_description_of_practices_policies_and_future_initiatives_for_transitioning_towards_a_more_sustainable_economy</vt:lpstr>
      <vt:lpstr>template_c3_disclosure_of_list_of_main_actions_the_entity_seeks_in_order_to_achieve_its_targets</vt:lpstr>
      <vt:lpstr>template_c3_GHG_reduction_targets_in_tC02e</vt:lpstr>
      <vt:lpstr>template_c3_transition_plan_for_undertakings_operating_in_high_climate_impact_sectors</vt:lpstr>
      <vt:lpstr>template_c4_climate_risks</vt:lpstr>
      <vt:lpstr>template_c5_additional_general_workforce_characteristics</vt:lpstr>
      <vt:lpstr>template_c6_additional_own_workforce_information_human_rights_policies_and_processes</vt:lpstr>
      <vt:lpstr>template_c7_severe_negative_human_rights_incidents</vt:lpstr>
      <vt:lpstr>template_c8_exclusion_from_EU_reference_benchmarks</vt:lpstr>
      <vt:lpstr>template_c8_revenues_from_certain_sectors</vt:lpstr>
      <vt:lpstr>template_c9_gender_diversity_ratio_in_the_governance_body</vt:lpstr>
      <vt:lpstr>template_currency</vt:lpstr>
      <vt:lpstr>template_disclosure_of_any_other_environmental_and_or_entity_specific_enviromental_disclosures</vt:lpstr>
      <vt:lpstr>template_disclosure_of_any_other_general_and_or_entity_specific_information_on_the_reporting_period</vt:lpstr>
      <vt:lpstr>template_disclosure_of_any_other_governance_and_or_entity_specific_governance_disclosures</vt:lpstr>
      <vt:lpstr>template_disclosure_of_any_other_social_and_or_entity_specific_social_disclosures</vt:lpstr>
      <vt:lpstr>template_ending_date_display</vt:lpstr>
      <vt:lpstr>template_information_on_previous_reporting_period</vt:lpstr>
      <vt:lpstr>template_information_on_the_report_necessary_for_XBRL</vt:lpstr>
      <vt:lpstr>template_label_0_provide_information_that_is_mandatory_in_order_to_generate_the_vsme_and_xbrl_report</vt:lpstr>
      <vt:lpstr>template_label_1_fill_in_the_disclosures_on_the_four_worksheets</vt:lpstr>
      <vt:lpstr>template_label_1_in_cell_a9_select_the_fuel_used_searching_for_it_or_scrolling_down_the_list_displayed_clicking_the_cell</vt:lpstr>
      <vt:lpstr>template_label_1_in_the_cell_b5_of_the_table_related_to_the_unit_of_measurement_of_mass_converter</vt:lpstr>
      <vt:lpstr>template_label_1_percent_or_more_of_their_revenues_from_exploration_mining_extraction_distribution_or_refining_of_hard_coal_and_lignite</vt:lpstr>
      <vt:lpstr>template_label_1_purchased_goods_and_services</vt:lpstr>
      <vt:lpstr>template_label_10_further_notes_can_be_found_below</vt:lpstr>
      <vt:lpstr>template_label_10_percent_or_more_of_their_revenues_from_the_exploration_extraction_distribution_or_refining_of_oil_fuels</vt:lpstr>
      <vt:lpstr>template_label_10_processing_of_sold_products</vt:lpstr>
      <vt:lpstr>template_label_11_use_of_sold_products</vt:lpstr>
      <vt:lpstr>template_label_12_end_of_life_treatment_of_sold_products</vt:lpstr>
      <vt:lpstr>template_label_13_downstream_leased_assets</vt:lpstr>
      <vt:lpstr>template_label_14_franchises</vt:lpstr>
      <vt:lpstr>template_label_15_investments</vt:lpstr>
      <vt:lpstr>template_label_2_capital_goods</vt:lpstr>
      <vt:lpstr>template_label_2_find_more_information_on_the_actual_disclosure_requirements_in_the_vsme_standard</vt:lpstr>
      <vt:lpstr>template_label_2_in_cell_b9_select_the_unit_of_measurement_used</vt:lpstr>
      <vt:lpstr>template_label_2_then_in_the_cell_b6_the_amount_of_mass_can_be_inserted</vt:lpstr>
      <vt:lpstr>template_label_3_finally_in_the_cell_d5_there_should_be_the_unit_of_measurement_of_interest</vt:lpstr>
      <vt:lpstr>template_label_3_for_open_tables_like_the_list_of_subsidizers_sites_please_expand_the_groups_by_clicking_the_plus</vt:lpstr>
      <vt:lpstr>template_label_3_fuel__and_energy_related_activities</vt:lpstr>
      <vt:lpstr>template_label_3_in_cell_c9_select_the_amount_of_fuel_used</vt:lpstr>
      <vt:lpstr>template_label_4_in_cell_d9_it_is_displayed_the_state_of_matter_for_the_fuel_selected</vt:lpstr>
      <vt:lpstr>template_label_4_the_outcome_of_the_conversion_will_be_displayed_in_the_cell_d6</vt:lpstr>
      <vt:lpstr>template_label_4_upstream_transportation_and_distribution</vt:lpstr>
      <vt:lpstr>template_label_4_validate_the_data_entered_by_checking_the_validation_status</vt:lpstr>
      <vt:lpstr>template_label_5_convert_this_template_to_an_inline_xbrl_report</vt:lpstr>
      <vt:lpstr>template_label_5_in_cell_e9_it_is_displayed_the_typical_renewability_state_for_the_fuel_selected</vt:lpstr>
      <vt:lpstr>template_label_5_waste_generated_in_operations</vt:lpstr>
      <vt:lpstr>template_label_50_percent_or_more_of_their_revenues_from_electricity_generation</vt:lpstr>
      <vt:lpstr>template_label_50_percent_or_more_of_their_revenues_from_the_exploration_extraction_manufacturing_or_distribution_of_gaseous_fuels</vt:lpstr>
      <vt:lpstr>template_label_6_business_travel</vt:lpstr>
      <vt:lpstr>template_label_6_in_cell_f9_is_displayed_the_energy_produced_in_mega_watt_hours_by_the_amount_of_fuel_specified</vt:lpstr>
      <vt:lpstr>template_label_6_the_undertaking_may_also_upload_the_report_to_public_repositories_or_a_webpage</vt:lpstr>
      <vt:lpstr>template_label_7_employee_commuting</vt:lpstr>
      <vt:lpstr>template_label_7_in_cell_a28_is_displayed_the_total_energy_in_mega_watt_hours</vt:lpstr>
      <vt:lpstr>template_label_8_in_cell_a31_is_displayed_the_total_renewable_energy_in_mega_watt_hours</vt:lpstr>
      <vt:lpstr>template_label_8_upstream_leased_assets</vt:lpstr>
      <vt:lpstr>template_label_9_downstream_transportation_and_distribution</vt:lpstr>
      <vt:lpstr>template_label_9_in_cell_b31_is_displayed_the_total_nonrenewable_energy_in_mega_watt_hours</vt:lpstr>
      <vt:lpstr>template_label_accident_prevention</vt:lpstr>
      <vt:lpstr>template_label_additional_disclosures_validation</vt:lpstr>
      <vt:lpstr>template_label_additional_rows_warning</vt:lpstr>
      <vt:lpstr>template_label_additionally_users_are_encouraged_to_determine_the_renewability_status_of_each_fuel_based_on_guarantees_of_origin</vt:lpstr>
      <vt:lpstr>template_label_address</vt:lpstr>
      <vt:lpstr>template_label_affected_communities</vt:lpstr>
      <vt:lpstr>template_label_always_to_be_reported</vt:lpstr>
      <vt:lpstr>template_label_always_to_be_reported_if_applicable</vt:lpstr>
      <vt:lpstr>template_label_amount</vt:lpstr>
      <vt:lpstr>template_label_amount_in</vt:lpstr>
      <vt:lpstr>template_label_amount_of_water_withdrawn_at_sites_located_in_areas_of_high_water_stress</vt:lpstr>
      <vt:lpstr>template_label_annual_mass_flow_of_relevant_materials_used_validation</vt:lpstr>
      <vt:lpstr>template_label_area</vt:lpstr>
      <vt:lpstr>template_label_area_hectares_or_m2</vt:lpstr>
      <vt:lpstr>template_label_at</vt:lpstr>
      <vt:lpstr>template_label_automatic_geolocation</vt:lpstr>
      <vt:lpstr>template_label_average_gross_hourly_pay_level_of_female_employees</vt:lpstr>
      <vt:lpstr>template_label_average_gross_hourly_pay_level_of_male_employees</vt:lpstr>
      <vt:lpstr>template_label_average_number_of_annual_training_hours_per_employee</vt:lpstr>
      <vt:lpstr>template_label_b1_basis_for_preparation_and_other_undertakings_general_information</vt:lpstr>
      <vt:lpstr>template_label_b1_basis_for_preparation_validation</vt:lpstr>
      <vt:lpstr>template_label_b1_disclosure_of_sustainability_related_certification_or_label</vt:lpstr>
      <vt:lpstr>template_label_b1_list_of_site</vt:lpstr>
      <vt:lpstr>template_label_b1_list_of_subsidiaries</vt:lpstr>
      <vt:lpstr>template_label_b10_workforce_remuneration_collective_bargaining_and_training</vt:lpstr>
      <vt:lpstr>template_label_b10_workforce_remuneration_collective_bargaining_and_training_validation</vt:lpstr>
      <vt:lpstr>template_label_b11_convictions_and_fines_for_corruption_and_bribery</vt:lpstr>
      <vt:lpstr>template_label_b11_convictions_and_fines_for_corruption_and_bribery_validation</vt:lpstr>
      <vt:lpstr>template_label_b2_cooperative_specific_disclosures</vt:lpstr>
      <vt:lpstr>template_label_b2_practices_policies_and_future_initiatives_for_transitioning_towards_a_more_sustainable_economy</vt:lpstr>
      <vt:lpstr>template_label_b2_practices_policies_and_future_initiatives_for_transitioning_towards_a_more_sustainable_economy_validation</vt:lpstr>
      <vt:lpstr>template_label_b3_breakdown_of_energy_consumption</vt:lpstr>
      <vt:lpstr>template_label_b3_energy_and_greenhouse_gas_emissions_validation</vt:lpstr>
      <vt:lpstr>template_label_b3_estimated_greenhouse_gas_emissions</vt:lpstr>
      <vt:lpstr>template_label_b3_greenhouse_gas_emission_intensity_per_turnover</vt:lpstr>
      <vt:lpstr>template_label_b3_total_energy_consumption</vt:lpstr>
      <vt:lpstr>template_label_b4_pollution_of_air_water_and_soil</vt:lpstr>
      <vt:lpstr>template_label_b4_pollution_of_air_water_and_soil_validation</vt:lpstr>
      <vt:lpstr>template_label_b5_biodiversity_land_use</vt:lpstr>
      <vt:lpstr>template_label_b5_biodiversity_validation</vt:lpstr>
      <vt:lpstr>template_label_b5_sites_in_biodiversity_sensitive_areas</vt:lpstr>
      <vt:lpstr>template_label_b6_water_consumption</vt:lpstr>
      <vt:lpstr>template_label_b6_water_validation</vt:lpstr>
      <vt:lpstr>template_label_b6_water_withdrawal</vt:lpstr>
      <vt:lpstr>template_label_b7_annual_mass_flow_of_relevant_materials_used</vt:lpstr>
      <vt:lpstr>template_label_b7_description_of_circular_economy_principles</vt:lpstr>
      <vt:lpstr>template_label_b7_resource_use_circular_economy_and_waste_management_validation</vt:lpstr>
      <vt:lpstr>template_label_b7_waste_generated</vt:lpstr>
      <vt:lpstr>template_label_b8_workforce_general_characteristics_country_of_employment</vt:lpstr>
      <vt:lpstr>template_label_b8_workforce_general_characteristics_gender</vt:lpstr>
      <vt:lpstr>template_label_b8_workforce_general_characteristics_turnover_rate</vt:lpstr>
      <vt:lpstr>template_label_b8_workforce_general_characteristics_type_of_contract</vt:lpstr>
      <vt:lpstr>template_label_b8_workforce_general_characteristics_validation</vt:lpstr>
      <vt:lpstr>template_label_b9_workforce_health_and_safety</vt:lpstr>
      <vt:lpstr>template_label_b9_workforce_health_and_safety_validation</vt:lpstr>
      <vt:lpstr>template_label_base_year</vt:lpstr>
      <vt:lpstr>template_label_basic_module</vt:lpstr>
      <vt:lpstr>template_label_basic_module_validation</vt:lpstr>
      <vt:lpstr>template_label_basis_for_preparation</vt:lpstr>
      <vt:lpstr>template_label_basis_for_preparation_and_other_undertakings_general_information_validation</vt:lpstr>
      <vt:lpstr>template_label_basis_for_reporting</vt:lpstr>
      <vt:lpstr>template_label_below_are_specified_all_the_units_of_measurement_conversions_of_each_table</vt:lpstr>
      <vt:lpstr>template_label_biodiversity_and_ecosystems</vt:lpstr>
      <vt:lpstr>template_label_biodiversity_land_use_validation</vt:lpstr>
      <vt:lpstr>template_label_breakdown_of_energy_consumption_in_mwh_validation</vt:lpstr>
      <vt:lpstr>template_label_business_conduct</vt:lpstr>
      <vt:lpstr>template_label_c1_strategy_business_model_and_sustainability_related_initiatives</vt:lpstr>
      <vt:lpstr>template_label_c1_strategy_business_model_and_sustainability_related_initiatives_validation</vt:lpstr>
      <vt:lpstr>template_label_c2_description_of_practices_policies_and_future_initiatives_for_transitioning_towards_a_more_sustainable_economy</vt:lpstr>
      <vt:lpstr>template_label_c2_description_of_practices_policies_and_future_initiatives_for_transitioning_towards_a_more_sustainable_economy_validation</vt:lpstr>
      <vt:lpstr>template_label_c3_disclosure_of_list_of_main_actions_the_entity_seeks_in_order_to_achieve_its_targets</vt:lpstr>
      <vt:lpstr>template_label_c3_ghg_reduction_targets</vt:lpstr>
      <vt:lpstr>template_label_c3_ghg_reduction_targets_and_climate_transition_validation</vt:lpstr>
      <vt:lpstr>template_label_c3_transition_plan_for_undertakings_operating_in_high_climate_impact_sectors</vt:lpstr>
      <vt:lpstr>template_label_c4_climate_risks</vt:lpstr>
      <vt:lpstr>template_label_c4_climate_risks_validation</vt:lpstr>
      <vt:lpstr>template_label_c5_additional_general_workforce_characteristics_validation</vt:lpstr>
      <vt:lpstr>template_label_c5_additional_workforce_characteristics</vt:lpstr>
      <vt:lpstr>template_label_c6_additional_own_workforce_information_human_rights_policies_and_processes</vt:lpstr>
      <vt:lpstr>template_label_c6_additional_own_workforce_information_human_rights_policies_and_processes_validation</vt:lpstr>
      <vt:lpstr>template_label_c7_severe_negative_human_rights_incidents</vt:lpstr>
      <vt:lpstr>template_label_c7_severe_negative_human_rights_incidents_validation</vt:lpstr>
      <vt:lpstr>template_label_c8_exclusion_from_eu_reference_benchmarks</vt:lpstr>
      <vt:lpstr>template_label_c8_revenues_from_certain_sectors</vt:lpstr>
      <vt:lpstr>template_label_c8_revenues_from_certain_sectors_and_exclusion_from_eu_reference_benchmarks_validation</vt:lpstr>
      <vt:lpstr>template_label_c9_gender_diversity_ratio_in_the_governance_body</vt:lpstr>
      <vt:lpstr>template_label_c9_gender_diversity_ratio_in_the_governance_body_validation</vt:lpstr>
      <vt:lpstr>template_label_calculated_energy_in_mwh</vt:lpstr>
      <vt:lpstr>template_label_cell_background_color_index</vt:lpstr>
      <vt:lpstr>template_label_child_labour</vt:lpstr>
      <vt:lpstr>template_label_circular_economy</vt:lpstr>
      <vt:lpstr>template_label_city</vt:lpstr>
      <vt:lpstr>template_label_climate_change</vt:lpstr>
      <vt:lpstr>template_label_complete</vt:lpstr>
      <vt:lpstr>template_label_comprehensive_module</vt:lpstr>
      <vt:lpstr>template_label_comprehensive_module_validation</vt:lpstr>
      <vt:lpstr>template_label_consumers_and_endusers_validation</vt:lpstr>
      <vt:lpstr>template_label_contents_grouping_follows_templates_framework</vt:lpstr>
      <vt:lpstr>template_label_cooperative_specific_disclosures_validation</vt:lpstr>
      <vt:lpstr>template_label_country</vt:lpstr>
      <vt:lpstr>template_label_country_of_employment_contract</vt:lpstr>
      <vt:lpstr>template_label_country_of_employment_validation</vt:lpstr>
      <vt:lpstr>template_label_country_of_primary_operations_and_location_of_significant_asset</vt:lpstr>
      <vt:lpstr>template_label_cubic_meters</vt:lpstr>
      <vt:lpstr>template_label_currency_of_the_monetary_values_in_the_report</vt:lpstr>
      <vt:lpstr>template_label_current_reporting_period</vt:lpstr>
      <vt:lpstr>template_label_date_of_foreseen_adoption_of_transition_plan_for_undertaking_not_having_adopted_transition_plan_yet</vt:lpstr>
      <vt:lpstr>template_label_date_warning</vt:lpstr>
      <vt:lpstr>template_label_day</vt:lpstr>
      <vt:lpstr>template_label_decimal_separator_document_information</vt:lpstr>
      <vt:lpstr>template_label_description_of_a_practice_policy_and_or_future_initiative_towards_a_more_sustainable_future</vt:lpstr>
      <vt:lpstr>template_label_description_of_a_transition_plan_for_climate_change_mitigation</vt:lpstr>
      <vt:lpstr>template_label_description_of_actions_taken_to_address_the_confirmed_incidents</vt:lpstr>
      <vt:lpstr>template_label_description_of_circular_economy_principles_validation</vt:lpstr>
      <vt:lpstr>template_label_description_of_climate_related_hazards_and_climate_related_transition_events</vt:lpstr>
      <vt:lpstr>template_label_description_of_how_it_applies_these_principles</vt:lpstr>
      <vt:lpstr>template_label_description_of_main_business_relationships</vt:lpstr>
      <vt:lpstr>template_label_description_of_significant_groups_of_products_and_or_services_offered</vt:lpstr>
      <vt:lpstr>template_label_description_of_significant_market_the_undertaking_operates_in</vt:lpstr>
      <vt:lpstr>template_label_description_of_sustainability_related_certification_or_label</vt:lpstr>
      <vt:lpstr>template_label_description_of_target_related_to_a_policy</vt:lpstr>
      <vt:lpstr>template_label_description_of_those_key_elements_in_the_strategy_that_relate_or_affect_sustainability_issues</vt:lpstr>
      <vt:lpstr>template_label_disclaimer</vt:lpstr>
      <vt:lpstr>template_label_disclosure_of_any_other_environmental_and_or_entity_specific_environmental_disclosures</vt:lpstr>
      <vt:lpstr>template_label_disclosure_of_any_other_environmental_and_or_entity_specific_environmental_disclosures_validation</vt:lpstr>
      <vt:lpstr>template_label_disclosure_of_any_other_general_and_or_entity_specific_information_on_the_reporting_period</vt:lpstr>
      <vt:lpstr>template_label_disclosure_of_any_other_general_and_or_entity_specific_information_on_the_reporting_period_validation</vt:lpstr>
      <vt:lpstr>template_label_disclosure_of_any_other_governance_and_or_entity_specific_governance_disclosures</vt:lpstr>
      <vt:lpstr>template_label_disclosure_of_any_other_governance_and_or_entity_specific_governance_disclosures_validation</vt:lpstr>
      <vt:lpstr>template_label_disclosure_of_any_other_social_and_or_entity_specific_social_disclosures</vt:lpstr>
      <vt:lpstr>template_label_disclosure_of_any_other_social_and_or_entity_specific_social_disclosures_validation</vt:lpstr>
      <vt:lpstr>template_label_disclosure_of_how_it_has_assessed_the_exposure_and_sensitivity_of_its_assets</vt:lpstr>
      <vt:lpstr>template_label_disclosure_of_list_of_main_actions_the_entity_seeks_in_order_to_achieve_its_targets_validation</vt:lpstr>
      <vt:lpstr>template_label_disclosure_of_sustainability_related_certifications_or_labels_validation</vt:lpstr>
      <vt:lpstr>template_label_disclosure_of_whether_it_has_undertaken_climate_change_adaptation_actions</vt:lpstr>
      <vt:lpstr>template_label_disclosures_for_which_no_changes_are_reported_compared_to_the_previous_period_reporting</vt:lpstr>
      <vt:lpstr>template_label_disclosures_from_the_previous_reporting_period_that_remain_unchanged</vt:lpstr>
      <vt:lpstr>template_label_disclosures_related_to_reporting_period</vt:lpstr>
      <vt:lpstr>template_label_discrimination</vt:lpstr>
      <vt:lpstr>template_label_does_the_undertaking_have_a_code_of_conduct_or_human_rights_policy_for_its_own_workforce</vt:lpstr>
      <vt:lpstr>template_label_does_the_undertaking_have_a_complaint_handling_mechanism_for_its_own_workforce</vt:lpstr>
      <vt:lpstr>template_label_does_the_undertaking_have_a_governance_body_in_place</vt:lpstr>
      <vt:lpstr>template_label_does_the_undertaking_have_confirmed_incidents_in_its_own_workforce</vt:lpstr>
      <vt:lpstr>template_label_does_the_undertaking_have_production_processes_in_place_which_significantly_consume_water</vt:lpstr>
      <vt:lpstr>template_label_does_the_undertaking_have_sites_that_are_located_in_or_near_biodiversity_sensitive_areas</vt:lpstr>
      <vt:lpstr>template_label_does_the_undertaking_operate_in_a_sector_using_significant_material_flows</vt:lpstr>
      <vt:lpstr>template_label_effective_participation_of_workers_users_or_other_interested_parties_or_communities_in_governance</vt:lpstr>
      <vt:lpstr>template_label_efrag_is_funded_by_the_european_union_through_the_single_market_programme</vt:lpstr>
      <vt:lpstr>template_label_electricity</vt:lpstr>
      <vt:lpstr>template_label_emission_to_air</vt:lpstr>
      <vt:lpstr>template_label_emission_to_soil</vt:lpstr>
      <vt:lpstr>template_label_emission_to_water</vt:lpstr>
      <vt:lpstr>template_label_employee_counting_methodology_end_of_reporting_period_or_average_during_the_reporting_period</vt:lpstr>
      <vt:lpstr>template_label_employee_counting_methodology_for_the_disclosures_below_headcount_full_time_equivalent</vt:lpstr>
      <vt:lpstr>template_label_employee_counting_methodology_for_the_disclosures_below_period</vt:lpstr>
      <vt:lpstr>template_label_employee_counting_methodology_headcount_or_fulltime_equivalent</vt:lpstr>
      <vt:lpstr>template_label_employee_turnover_rate_in_the_reporting_period</vt:lpstr>
      <vt:lpstr>template_label_employees_receive_pay_that_is_equal_or_above_applicable_minimum_wage</vt:lpstr>
      <vt:lpstr>template_label_ending_day</vt:lpstr>
      <vt:lpstr>template_label_ending_month</vt:lpstr>
      <vt:lpstr>template_label_ending_year</vt:lpstr>
      <vt:lpstr>template_label_energy_consumption_per_hour_in_mwh_for_gaseous_fuels</vt:lpstr>
      <vt:lpstr>template_label_energy_consumption_per_hour_in_mwh_for_liquid_fuels</vt:lpstr>
      <vt:lpstr>template_label_energy_consumption_per_hour_in_mwh_for_solid_fuels</vt:lpstr>
      <vt:lpstr>template_label_energy_consumption_warning</vt:lpstr>
      <vt:lpstr>template_label_energy_gaseous_fuels</vt:lpstr>
      <vt:lpstr>template_label_energy_liquid_fuels</vt:lpstr>
      <vt:lpstr>template_label_energy_solid_fuels</vt:lpstr>
      <vt:lpstr>template_label_entity_identifier_document_information</vt:lpstr>
      <vt:lpstr>template_label_entity_identifier_scheme_document_information</vt:lpstr>
      <vt:lpstr>template_label_entity_name_document_information</vt:lpstr>
      <vt:lpstr>template_label_environmental_disclosures_validation</vt:lpstr>
      <vt:lpstr>template_label_error</vt:lpstr>
      <vt:lpstr>template_label_error_plus_missing_value</vt:lpstr>
      <vt:lpstr>template_label_error_plus_missing_value_plus_value_inconsistency</vt:lpstr>
      <vt:lpstr>template_label_error_plus_value_inconsistency</vt:lpstr>
      <vt:lpstr>template_label_estimated_greenhouse_gas_emissions_considering_the_ghg_protocol_version_2004_in_tco2e_validation</vt:lpstr>
      <vt:lpstr>template_label_exclusion_from_eu_reference_benchmarks_validation</vt:lpstr>
      <vt:lpstr>template_label_female</vt:lpstr>
      <vt:lpstr>template_label_female_to_male_ratio_at_management_level_for_the_reporting_period</vt:lpstr>
      <vt:lpstr>template_label_financial_investment_in_the_capital_or_assets_of_social_economy_entities</vt:lpstr>
      <vt:lpstr>template_label_forced_labour</vt:lpstr>
      <vt:lpstr>template_label_from</vt:lpstr>
      <vt:lpstr>template_label_from_capital_case</vt:lpstr>
      <vt:lpstr>template_label_fuel_converter</vt:lpstr>
      <vt:lpstr>template_label_fuel_type</vt:lpstr>
      <vt:lpstr>template_label_fuels</vt:lpstr>
      <vt:lpstr>template_label_further_notes</vt:lpstr>
      <vt:lpstr>template_label_gaseous_warning</vt:lpstr>
      <vt:lpstr>template_label_gender</vt:lpstr>
      <vt:lpstr>template_label_gender_diversity_ratio_in_governance_body</vt:lpstr>
      <vt:lpstr>template_label_gender_validation</vt:lpstr>
      <vt:lpstr>template_label_general_information_validation</vt:lpstr>
      <vt:lpstr>template_label_general_principles</vt:lpstr>
      <vt:lpstr>template_label_geolocalisation_warning</vt:lpstr>
      <vt:lpstr>template_label_GHG_calculator</vt:lpstr>
      <vt:lpstr>template_label_ghg_reduction_targets_in_tc02e_validation</vt:lpstr>
      <vt:lpstr>template_label_governance_disclosures_validation</vt:lpstr>
      <vt:lpstr>template_label_gps_coordinates</vt:lpstr>
      <vt:lpstr>template_label_greenhouse_gas_emission_intensity_per_turnover_validation</vt:lpstr>
      <vt:lpstr>template_label_gross_scope_1_ghg_emissions</vt:lpstr>
      <vt:lpstr>template_label_gross_scope_2_location_based_ghg_emissions</vt:lpstr>
      <vt:lpstr>template_label_gross_scope_2_market_based_ghg_emissions</vt:lpstr>
      <vt:lpstr>template_label_has_the_strategy_key_elements_that_relate_to_or_affect_sustainability_issues</vt:lpstr>
      <vt:lpstr>template_label_has_the_undertaking_has_established_ghg_emission_reduction_targets</vt:lpstr>
      <vt:lpstr>template_label_has_the_undertaking_identified_climate_related_hazards_and_climate_related_transition_events</vt:lpstr>
      <vt:lpstr>template_label_has_the_undertaking_incurred_in_convictions_and_fines_in_the_reporting_period</vt:lpstr>
      <vt:lpstr>template_label_has_the_undertaking_obtained_any_sustainability_related_certification_or_label</vt:lpstr>
      <vt:lpstr>template_label_has_the_undertaking_obtained_the_necessary_information_to_provide_an_energy_consumption_breakdown</vt:lpstr>
      <vt:lpstr>template_label_has_the_undertaking_put_in_place_specific_practices_policies_and_or_future</vt:lpstr>
      <vt:lpstr>template_label_health_and_safety_formula_warning</vt:lpstr>
      <vt:lpstr>template_label_how_to_use_it</vt:lpstr>
      <vt:lpstr>template_label_human_trafficking</vt:lpstr>
      <vt:lpstr>template_label_id</vt:lpstr>
      <vt:lpstr>template_label_identifier_of_the_reporting_entity</vt:lpstr>
      <vt:lpstr>template_label_identifier_warning</vt:lpstr>
      <vt:lpstr>template_label_if_applicable</vt:lpstr>
      <vt:lpstr>template_label_if_applicable_linked_to_b2</vt:lpstr>
      <vt:lpstr>template_label_if_yes_are_incidents_related_to</vt:lpstr>
      <vt:lpstr>template_label_if_yes_does_this_cover</vt:lpstr>
      <vt:lpstr>template_label_incomplete</vt:lpstr>
      <vt:lpstr>template_label_indicates_that_data_entry_is_ok_and_the_undertaking_can_proceed_to_the_next_disclosure</vt:lpstr>
      <vt:lpstr>template_label_indicates_that_either_data_entry_is_incorrect_in_terms_of_format_or_that_certain_information</vt:lpstr>
      <vt:lpstr>template_label_indicates_that_no_data_entry_is_required_unless_certain_logics_are_selected_in_the_disclosure_itself</vt:lpstr>
      <vt:lpstr>template_label_indicates_that_the_cell_is_automatically_calculated_and_that_no_data_entry_is_required</vt:lpstr>
      <vt:lpstr>template_label_indicates_that_the_cell_should_be_filled_either_by_selecting_a_value_from_the_dropdown</vt:lpstr>
      <vt:lpstr>template_label_indicates_that_the_datapoint_often_a_condition_will_not_be_included_in_the_vsme_and_digital_xbrl_report</vt:lpstr>
      <vt:lpstr>template_label_indicates_that_the_disclosure_is_from_the_general_principles_of_the_vsme</vt:lpstr>
      <vt:lpstr>template_label_indicates_that_the_disclosure_is_from_the_vsme_basic_module</vt:lpstr>
      <vt:lpstr>template_label_indicates_that_the_disclosure_is_from_the_vsme_comprehensive_module</vt:lpstr>
      <vt:lpstr>template_label_information_on_previous_reporting_period</vt:lpstr>
      <vt:lpstr>template_label_information_on_previous_reporting_period_validation</vt:lpstr>
      <vt:lpstr>template_label_information_on_the_report_necessary_for_xbrl</vt:lpstr>
      <vt:lpstr>template_label_information_on_the_report_necessary_for_xbrl_validation</vt:lpstr>
      <vt:lpstr>template_label_invalid_url</vt:lpstr>
      <vt:lpstr>template_label_is_the_undertaking_aware_of_any_confirmed_incidents_involving_workers</vt:lpstr>
      <vt:lpstr>template_label_is_the_undertaking_deriving_revenues_from_one_of_the_activities_listed_below</vt:lpstr>
      <vt:lpstr>template_label_is_the_undertaking_disclosing_entity_specific_information_on_scope_3_emissions</vt:lpstr>
      <vt:lpstr>template_label_is_the_undertaking_operating_in_high_impact_sectors</vt:lpstr>
      <vt:lpstr>template_label_is_this_disclosure_already_publicly_available</vt:lpstr>
      <vt:lpstr>template_label_kilograms</vt:lpstr>
      <vt:lpstr>template_label_land_use_type</vt:lpstr>
      <vt:lpstr>template_label_limits_to_the_distribution_of_profits</vt:lpstr>
      <vt:lpstr>template_label_link_to_previous_report_containing_disclosures_that_remain_unchanged</vt:lpstr>
      <vt:lpstr>template_label_liquid_warning</vt:lpstr>
      <vt:lpstr>template_label_list_of_omitted_disclosures_deemed_to_be_classified_or_sensitive_information</vt:lpstr>
      <vt:lpstr>template_label_list_of_sites_validation</vt:lpstr>
      <vt:lpstr>template_label_list_of_subsidiaries_validation</vt:lpstr>
      <vt:lpstr>template_label_lists_can_be_expanded_using_the_plus_button_on_the_left</vt:lpstr>
      <vt:lpstr>template_label_main_title_of_report_text</vt:lpstr>
      <vt:lpstr>template_label_male</vt:lpstr>
      <vt:lpstr>template_label_mass_gaseous_fuels</vt:lpstr>
      <vt:lpstr>template_label_mass_liquid_fuels</vt:lpstr>
      <vt:lpstr>template_label_mass_volume</vt:lpstr>
      <vt:lpstr>template_label_may</vt:lpstr>
      <vt:lpstr>template_label_may_not_headline</vt:lpstr>
      <vt:lpstr>template_label_missing_value</vt:lpstr>
      <vt:lpstr>template_label_missing_value_plus_value_inconsistency</vt:lpstr>
      <vt:lpstr>template_label_monetary_amount_in</vt:lpstr>
      <vt:lpstr>template_label_month</vt:lpstr>
      <vt:lpstr>template_label_most_senior_level_accountable_for_implementing_practices_policies_and_or_future_initiatives</vt:lpstr>
      <vt:lpstr>template_label_nace_sector_classification_code</vt:lpstr>
      <vt:lpstr>template_label_NACE_warning</vt:lpstr>
      <vt:lpstr>template_label_name</vt:lpstr>
      <vt:lpstr>template_label_name_of_the_key_material</vt:lpstr>
      <vt:lpstr>template_label_name_of_the_reporting_entity</vt:lpstr>
      <vt:lpstr>template_label_no_value_can_be_entered_in_the_cell</vt:lpstr>
      <vt:lpstr>template_label_non_renewable</vt:lpstr>
      <vt:lpstr>template_label_none_of_the_above</vt:lpstr>
      <vt:lpstr>template_label_not_reported</vt:lpstr>
      <vt:lpstr>template_label_number_of_annual_training_hours_per_employee_during_the_reporting_period</vt:lpstr>
      <vt:lpstr>template_label_number_of_employees</vt:lpstr>
      <vt:lpstr>template_label_number_of_employees_at_the_beginning_of_the_reporting_period</vt:lpstr>
      <vt:lpstr>template_label_number_of_employees_at_the_end_of_the_reporting_period</vt:lpstr>
      <vt:lpstr>template_label_number_of_employees_covered_by_collective_bargaining_agreements</vt:lpstr>
      <vt:lpstr>template_label_number_of_employees_warning</vt:lpstr>
      <vt:lpstr>template_label_number_of_employees_who_left_during_the_reporting_period</vt:lpstr>
      <vt:lpstr>template_label_number_of_fatalities_as_a_result_of_work_related_injuries_and_work_related_ill_health</vt:lpstr>
      <vt:lpstr>template_label_number_of_female_board_members_at_the_end_of_the_reporting_period</vt:lpstr>
      <vt:lpstr>template_label_number_of_female_employees_at_management_level</vt:lpstr>
      <vt:lpstr>template_label_number_of_hours_worked_by_one_fulltime_employee_in_the_reporting_period</vt:lpstr>
      <vt:lpstr>template_label_number_of_male_board_members_at_the_end_of_the_reporting_period</vt:lpstr>
      <vt:lpstr>template_label_number_of_male_employees_at_management_level</vt:lpstr>
      <vt:lpstr>template_label_number_of_recordable_work_related_accidents_in_the_reporting_period</vt:lpstr>
      <vt:lpstr>template_label_ok</vt:lpstr>
      <vt:lpstr>template_label_other</vt:lpstr>
      <vt:lpstr>template_label_other_if_yes_specify</vt:lpstr>
      <vt:lpstr>template_label_other_undertakings_legal_form_specification</vt:lpstr>
      <vt:lpstr>template_label_other_warning</vt:lpstr>
      <vt:lpstr>template_label_overall_validation_status_validation</vt:lpstr>
      <vt:lpstr>template_label_own_workforce</vt:lpstr>
      <vt:lpstr>template_label_paragraph_guidance_reference</vt:lpstr>
      <vt:lpstr>template_label_paragraph_reference</vt:lpstr>
      <vt:lpstr>template_label_percentage_gap_in_pay_between_the__undertakings_female_and_male_employees</vt:lpstr>
      <vt:lpstr>template_label_percentage_of_employees_covered_by_collective_bargaining_agreements</vt:lpstr>
      <vt:lpstr>template_label_percentage_reduction_from_base_year</vt:lpstr>
      <vt:lpstr>template_label_permanent_contract</vt:lpstr>
      <vt:lpstr>template_label_please_note_that_the_typical_values_for_net_calorific_value_and_density_are_provided_for_each_fuel_type</vt:lpstr>
      <vt:lpstr>template_label_please_provide_the_relevant_url_link_or_hyperlink_of_where_this_information_is_reported</vt:lpstr>
      <vt:lpstr>template_label_please_select_the_unit_used_for_reporting_the_amount</vt:lpstr>
      <vt:lpstr>template_label_please_select_the_unit_used_for_the_area</vt:lpstr>
      <vt:lpstr>template_label_pollutant</vt:lpstr>
      <vt:lpstr>template_label_pollution</vt:lpstr>
      <vt:lpstr>template_label_postal_code</vt:lpstr>
      <vt:lpstr>template_label_potential_adverse_effects_of_climate_risks</vt:lpstr>
      <vt:lpstr>template_label_practices_policies_and_future_initiatives_for_transitioning_towards_a_more_sustainable_economy_validation</vt:lpstr>
      <vt:lpstr>template_label_publication_date</vt:lpstr>
      <vt:lpstr>template_label_rate_of_recordable_work_related_accidents_in_the_reporting_period</vt:lpstr>
      <vt:lpstr>template_label_registered_address</vt:lpstr>
      <vt:lpstr>template_label_related_site_id</vt:lpstr>
      <vt:lpstr>template_label_renewable</vt:lpstr>
      <vt:lpstr>template_label_report_currency_document_information</vt:lpstr>
      <vt:lpstr>template_label_report_generated</vt:lpstr>
      <vt:lpstr>template_label_report_period_document_information</vt:lpstr>
      <vt:lpstr>template_label_reporting_period</vt:lpstr>
      <vt:lpstr>template_label_reporting_period_end_date</vt:lpstr>
      <vt:lpstr>template_label_reporting_period_start_date</vt:lpstr>
      <vt:lpstr>template_label_reproduction_and_use_rights_are_strictly_limited</vt:lpstr>
      <vt:lpstr>template_label_required_by_law_or_other_national_regulations_to_report_to_competent_authorities_its_emissions_of_pollutants</vt:lpstr>
      <vt:lpstr>template_label_revenue_derived_from_chemicals_production</vt:lpstr>
      <vt:lpstr>template_label_revenue_derived_from_coal</vt:lpstr>
      <vt:lpstr>template_label_revenue_derived_from_controversial_weapons</vt:lpstr>
      <vt:lpstr>template_label_revenue_derived_from_cultivation_and_production_of_tobacco</vt:lpstr>
      <vt:lpstr>template_label_revenue_derived_from_gas</vt:lpstr>
      <vt:lpstr>template_label_revenue_derived_from_oil</vt:lpstr>
      <vt:lpstr>template_label_revenues_from_certain_sectors_validation</vt:lpstr>
      <vt:lpstr>template_label_row_id</vt:lpstr>
      <vt:lpstr>template_label_scope_1_and_scope_2_ghg_emissions_intensity_location_based</vt:lpstr>
      <vt:lpstr>template_label_scope_1_and_scope_2_ghg_emissions_intensity_market_based</vt:lpstr>
      <vt:lpstr>template_label_scope_3_categories_warning</vt:lpstr>
      <vt:lpstr>template_label_select_template_display_language</vt:lpstr>
      <vt:lpstr>template_label_selfgenerated_electricity</vt:lpstr>
      <vt:lpstr>template_label_site_ID_value_inconsistency_warning</vt:lpstr>
      <vt:lpstr>template_label_site_located_in_a_biodiversity_sensitive_area</vt:lpstr>
      <vt:lpstr>template_label_site_located_near_a_biodiversity_sensitive_area</vt:lpstr>
      <vt:lpstr>template_label_site_location_in_near_a_biodiversity_area</vt:lpstr>
      <vt:lpstr>template_label_sites_in_biodiversity_sensitive_areas_validation</vt:lpstr>
      <vt:lpstr>template_label_size_of_balance_sheet_in</vt:lpstr>
      <vt:lpstr>template_label_social_disclosures_validation</vt:lpstr>
      <vt:lpstr>template_label_solid_warning</vt:lpstr>
      <vt:lpstr>template_label_specific_content_validation_status_validation</vt:lpstr>
      <vt:lpstr>template_label_specification_of_any_confirmed_incident_involving_workers</vt:lpstr>
      <vt:lpstr>template_label_specify_other_human_rights_related_to_the_confirmed_incidents</vt:lpstr>
      <vt:lpstr>template_label_specify_other_types_of_content_covered_by_the_code_of_conduct_or_human_rights_policy</vt:lpstr>
      <vt:lpstr>template_label_starting_day</vt:lpstr>
      <vt:lpstr>template_label_starting_month</vt:lpstr>
      <vt:lpstr>template_label_starting_year</vt:lpstr>
      <vt:lpstr>template_label_state_of_matter</vt:lpstr>
      <vt:lpstr>template_label_status_of_implementation_of_a_transition_plan_in_relation_to_climate_change_mitigation</vt:lpstr>
      <vt:lpstr>template_label_steps_to_follow_for_the_mass_table</vt:lpstr>
      <vt:lpstr>template_label_subtitle_of_report</vt:lpstr>
      <vt:lpstr>template_label_subtitle_of_report_text</vt:lpstr>
      <vt:lpstr>template_label_sustainability_issues_addressed_by_a_practice_policy_and_or_future_initiatives_put_in_place</vt:lpstr>
      <vt:lpstr>template_label_table_of_contents</vt:lpstr>
      <vt:lpstr>template_label_table_of_contents_validation</vt:lpstr>
      <vt:lpstr>template_label_target_year</vt:lpstr>
      <vt:lpstr>template_label_taxonomy_entry_point</vt:lpstr>
      <vt:lpstr>template_label_temporary_contract</vt:lpstr>
      <vt:lpstr>template_label_the_converter_offers_the_possibility_of_calculating_simultaneously_up_to_10_different_types_of_fuel</vt:lpstr>
      <vt:lpstr>template_label_the_purpose_of_this_digital_template_is_to_illustrate_how_vsme_reporting_can_be_implemented_in_a_digital_template</vt:lpstr>
      <vt:lpstr>template_label_the_steps_to_follow_for_the_other_tables</vt:lpstr>
      <vt:lpstr>template_label_this_converter_is_intended_solely_to_illustrate_how_energy_consumption_in_mwh</vt:lpstr>
      <vt:lpstr>template_label_time_horizons_of_any_climate_related_hazards_and_transition_events_identified</vt:lpstr>
      <vt:lpstr>template_label_title_of_report</vt:lpstr>
      <vt:lpstr>template_label_to</vt:lpstr>
      <vt:lpstr>template_label_total_amount_of_fines_for_the_violation_of_anti_corruption_and_anti_bribery_laws</vt:lpstr>
      <vt:lpstr>template_label_total_amount_of_waste_generated</vt:lpstr>
      <vt:lpstr>template_label_total_amount_of_water_withdrawn_from_all_sites</vt:lpstr>
      <vt:lpstr>template_label_total_annual_mass_flow_of_relevant_materials_used_mass</vt:lpstr>
      <vt:lpstr>template_label_total_annual_mass_flow_of_relevant_materials_used_volume</vt:lpstr>
      <vt:lpstr>template_label_total_employees</vt:lpstr>
      <vt:lpstr>template_label_total_energy</vt:lpstr>
      <vt:lpstr>template_label_total_energy_consumption</vt:lpstr>
      <vt:lpstr>template_label_total_energy_consumption_in_mwh_validation</vt:lpstr>
      <vt:lpstr>template_label_total_hazardous_waste_generated_mass</vt:lpstr>
      <vt:lpstr>template_label_total_hazardous_waste_generated_volume</vt:lpstr>
      <vt:lpstr>template_label_total_nature_oriented_area_off_site</vt:lpstr>
      <vt:lpstr>template_label_total_nature_oriented_area_on_site</vt:lpstr>
      <vt:lpstr>template_label_total_non_hazardous_waste_generated_mass</vt:lpstr>
      <vt:lpstr>template_label_total_non_hazardous_waste_generated_volume</vt:lpstr>
      <vt:lpstr>template_label_total_nonrenewable_energy</vt:lpstr>
      <vt:lpstr>template_label_total_number_of_convictions_for_the_violation_of_anti_corruption_and_anti_bribery_laws</vt:lpstr>
      <vt:lpstr>template_label_total_number_of_hours_worked_in_a_year_by_all_employees_in_the_reporting_period</vt:lpstr>
      <vt:lpstr>template_label_total_renewable_and_nonrenewable</vt:lpstr>
      <vt:lpstr>template_label_total_renewable_energy</vt:lpstr>
      <vt:lpstr>template_label_total_revenues_derived_from_fossil_fuel_sector</vt:lpstr>
      <vt:lpstr>template_label_total_scope_1_and_scope_2_ghg_emissions_location_based</vt:lpstr>
      <vt:lpstr>template_label_total_scope_1_and_scope_2_ghg_emissions_market_based</vt:lpstr>
      <vt:lpstr>template_label_total_scope_1_scope_2_and_scope_3_ghg_emissions_intensity_location_based</vt:lpstr>
      <vt:lpstr>template_label_total_scope_1_scope_2_and_scope_3_ghg_emissions_intensity_market_based</vt:lpstr>
      <vt:lpstr>template_label_total_scope_1_scope_2_and_scope_3_ghg_emissions_location_based</vt:lpstr>
      <vt:lpstr>template_label_total_scope_1_scope_2_and_scope_3_ghg_emissions_market_based</vt:lpstr>
      <vt:lpstr>template_label_total_scope_3_ghg_emissions</vt:lpstr>
      <vt:lpstr>template_label_total_sealed_area</vt:lpstr>
      <vt:lpstr>template_label_total_self_employed_workers_without_personnel_that_are_working_exclusively_for_the_undertaking</vt:lpstr>
      <vt:lpstr>template_label_total_temporary_workers_provided_by_undertakings_primarily_engaged_in_employment_activities</vt:lpstr>
      <vt:lpstr>template_label_total_use_of_land</vt:lpstr>
      <vt:lpstr>template_label_total_waste_generated_mass</vt:lpstr>
      <vt:lpstr>template_label_total_waste_generated_volume</vt:lpstr>
      <vt:lpstr>template_label_total_waste_recycled_reused_and_directed_to_disposal</vt:lpstr>
      <vt:lpstr>template_label_total_water_consumption</vt:lpstr>
      <vt:lpstr>template_label_transfer_the_total_results_to_the_b3_fuel_energy_consumption_reporting_cell</vt:lpstr>
      <vt:lpstr>template_label_transition_plan_for_undertakings_operating_in_high_climate_impact_sectors_validation</vt:lpstr>
      <vt:lpstr>template_label_turnover_in</vt:lpstr>
      <vt:lpstr>template_label_turnover_rate_validation</vt:lpstr>
      <vt:lpstr>template_label_type_of_contract</vt:lpstr>
      <vt:lpstr>template_label_type_of_contract_validation</vt:lpstr>
      <vt:lpstr>template_label_type_of_waste</vt:lpstr>
      <vt:lpstr>template_label_type_of_waste_warning</vt:lpstr>
      <vt:lpstr>template_label_typical_renewable_state</vt:lpstr>
      <vt:lpstr>template_label_undertaking_applies_circular_economy_principles</vt:lpstr>
      <vt:lpstr>template_label_undertaking_has_a_practice_policy_and_or_future_initiative_that_is_publicly_available</vt:lpstr>
      <vt:lpstr>template_label_undertaking_has_set_a_target_which_is_related_to_a_policy</vt:lpstr>
      <vt:lpstr>template_label_undertaking_operating_in_more_than_one_country</vt:lpstr>
      <vt:lpstr>template_label_undertakings_are_excluded_from_any_eu_reference_benchmarks_that_are_aligned_with_the_paris_agreement</vt:lpstr>
      <vt:lpstr>template_label_undertakings_are_excluded_from_the_eu_paris_aligned_benchmarks_if_they_derive</vt:lpstr>
      <vt:lpstr>template_label_undertakings_legal_form</vt:lpstr>
      <vt:lpstr>template_label_unit_of_measurement</vt:lpstr>
      <vt:lpstr>template_label_unit_of_measurement_converter</vt:lpstr>
      <vt:lpstr>template_label_unit_of_measurement_of_density_converter</vt:lpstr>
      <vt:lpstr>template_label_unit_of_measurement_of_density_converter_list</vt:lpstr>
      <vt:lpstr>template_label_unit_of_measurement_of_energy_consumption_per_hour</vt:lpstr>
      <vt:lpstr>template_label_unit_of_measurement_of_energy_converter_list</vt:lpstr>
      <vt:lpstr>template_label_unit_of_measurement_of_mass_converter</vt:lpstr>
      <vt:lpstr>template_label_unit_of_measurement_of_mass_converter_list</vt:lpstr>
      <vt:lpstr>template_label_unit_of_measurement_of_ncv_converter</vt:lpstr>
      <vt:lpstr>template_label_unit_of_measurement_of_ncv_converter_list</vt:lpstr>
      <vt:lpstr>template_label_unit_of_measurement_of_volume_converter</vt:lpstr>
      <vt:lpstr>template_label_unit_of_measurement_of_volume_converter_list</vt:lpstr>
      <vt:lpstr>template_label_usage_of_fuel_converter</vt:lpstr>
      <vt:lpstr>template_label_usage_of_unit_of_measurement_converter</vt:lpstr>
      <vt:lpstr>template_label_validation_missing_value_error_velue_inconsistency_invalid_url</vt:lpstr>
      <vt:lpstr>template_label_validation_ok</vt:lpstr>
      <vt:lpstr>template_label_value_inconsistency</vt:lpstr>
      <vt:lpstr>template_label_version</vt:lpstr>
      <vt:lpstr>template_label_vsme_digital_template</vt:lpstr>
      <vt:lpstr>template_label_waste_directed_to_disposal</vt:lpstr>
      <vt:lpstr>template_label_waste_diverted_to_recycle_or_reuse</vt:lpstr>
      <vt:lpstr>template_label_waste_generated_validation</vt:lpstr>
      <vt:lpstr>template_label_water_and_marine_resources</vt:lpstr>
      <vt:lpstr>template_label_water_consumption_validation</vt:lpstr>
      <vt:lpstr>template_label_water_discharge_from_undertaking_production_processes</vt:lpstr>
      <vt:lpstr>template_label_water_withdrawal_validation</vt:lpstr>
      <vt:lpstr>template_label_workers_in_the_value_chain</vt:lpstr>
      <vt:lpstr>template_label_XBRL_facts_in_report</vt:lpstr>
      <vt:lpstr>template_label_year</vt:lpstr>
      <vt:lpstr>template_label_year_date</vt:lpstr>
      <vt:lpstr>template_overall_validation_status</vt:lpstr>
      <vt:lpstr>template_reporting_entity_identifier</vt:lpstr>
      <vt:lpstr>template_reporting_entity_identifier_scheme</vt:lpstr>
      <vt:lpstr>template_reporting_entity_name</vt:lpstr>
      <vt:lpstr>template_reporting_period_display</vt:lpstr>
      <vt:lpstr>template_reporting_period_enddate</vt:lpstr>
      <vt:lpstr>template_reporting_period_startdate</vt:lpstr>
      <vt:lpstr>template_reporting_schemaRef</vt:lpstr>
      <vt:lpstr>template_reporting_subtitle</vt:lpstr>
      <vt:lpstr>template_reporting_template_version</vt:lpstr>
      <vt:lpstr>template_reporting_title</vt:lpstr>
      <vt:lpstr>template_selected_display_language</vt:lpstr>
      <vt:lpstr>template_starting_date_display</vt:lpstr>
      <vt:lpstr>template_translations</vt:lpstr>
      <vt:lpstr>TimeHorizonsOfAnyClimateRelatedHazardsAndTransitionEventsIdentified</vt:lpstr>
      <vt:lpstr>TotalAmountOfFinesForTheViolationOfAnticorruptionAndAntibriberyLaws</vt:lpstr>
      <vt:lpstr>TotalAmountOfWaterWithdrawnFromAllSites</vt:lpstr>
      <vt:lpstr>TotalEnergyConsumption</vt:lpstr>
      <vt:lpstr>TotalGrossLocationBasedGHGEmissions_BaselineYearMember</vt:lpstr>
      <vt:lpstr>TotalGrossLocationBasedGHGEmissions_CurrentlyStatedMember</vt:lpstr>
      <vt:lpstr>TotalGrossLocationBasedGHGEmissions_TargetYearMember</vt:lpstr>
      <vt:lpstr>TotalGrossLocationBasedScope1AndScope2GHGEmissions</vt:lpstr>
      <vt:lpstr>TotalGrossLocationBasedScope1AndScope2GHGEmissions_BaselineYearMember</vt:lpstr>
      <vt:lpstr>TotalGrossLocationBasedScope1AndScope2GHGEmissions_TargetYearMember</vt:lpstr>
      <vt:lpstr>TotalGrossMarketBasedGHGEmissions_BaselineYearMember</vt:lpstr>
      <vt:lpstr>TotalGrossMarketBasedGHGEmissions_CurrentlyStatedMember</vt:lpstr>
      <vt:lpstr>TotalGrossMarketBasedGHGEmissions_TargetYearMember</vt:lpstr>
      <vt:lpstr>TotalGrossMarketBasedScope1AndScope2GHGEmissions</vt:lpstr>
      <vt:lpstr>TotalGrossMarketBasedScope1AndScope2GHGEmissions_BaselineYearMember</vt:lpstr>
      <vt:lpstr>TotalGrossMarketBasedScope1AndScope2GHGEmissions_TargetYearMember</vt:lpstr>
      <vt:lpstr>TotalHazardousWasteGeneratedMass</vt:lpstr>
      <vt:lpstr>TotalHazardousWasteGeneratedMass_unit</vt:lpstr>
      <vt:lpstr>TotalHazardousWasteGeneratedVolume</vt:lpstr>
      <vt:lpstr>TotalHazardousWasteGeneratedVolume_unit</vt:lpstr>
      <vt:lpstr>TotalLocationBasedGreenhouseGasEmissionsIntensityValue</vt:lpstr>
      <vt:lpstr>TotalMarketBasedGreenhouseGasEmissionsIntensityValue</vt:lpstr>
      <vt:lpstr>TotalMassOfMaterialUsed</vt:lpstr>
      <vt:lpstr>TotalMassOfMaterialUsed_unit</vt:lpstr>
      <vt:lpstr>TotalNatureOrientedAreaOffSite</vt:lpstr>
      <vt:lpstr>TotalNatureOrientedAreaOffSite_unit</vt:lpstr>
      <vt:lpstr>TotalNatureOrientedAreaOnSite</vt:lpstr>
      <vt:lpstr>TotalNatureOrientedAreaOnSite_unit</vt:lpstr>
      <vt:lpstr>TotalNonHazardousWasteGeneratedMass</vt:lpstr>
      <vt:lpstr>TotalNonHazardousWasteGeneratedMass_unit</vt:lpstr>
      <vt:lpstr>TotalNonHazardousWasteGeneratedVolume</vt:lpstr>
      <vt:lpstr>TotalNonHazardousWasteGeneratedVolume_unit</vt:lpstr>
      <vt:lpstr>TotalNumberOfConvictionsForTheViolationOfAntiCorruptionAndAntiBriberyLaws</vt:lpstr>
      <vt:lpstr>TotalNumberOfSelfEmployedWorkersWithoutPersonnelThatAreWorkingExclusivelyForTheUndertaking</vt:lpstr>
      <vt:lpstr>TotalNumberOfTemporaryWorkersProvidedByUndertakingsPrimarilyEngagedInEmploymentActivities</vt:lpstr>
      <vt:lpstr>TotalRevenuesDerivedFromFossilFuelCoalOilAndGasSector</vt:lpstr>
      <vt:lpstr>TotalSealedArea</vt:lpstr>
      <vt:lpstr>TotalSealedArea_unit</vt:lpstr>
      <vt:lpstr>TotalUseOfLand</vt:lpstr>
      <vt:lpstr>TotalUseOfLand_unit</vt:lpstr>
      <vt:lpstr>TotalVolumeOfMaterialUsed</vt:lpstr>
      <vt:lpstr>TotalVolumeOfMaterialUsed_unit</vt:lpstr>
      <vt:lpstr>TotalWasteGeneratedMass</vt:lpstr>
      <vt:lpstr>TotalWasteGeneratedMass_unit</vt:lpstr>
      <vt:lpstr>TotalWasteGeneratedVolume</vt:lpstr>
      <vt:lpstr>TotalWasteGeneratedVolume_unit</vt:lpstr>
      <vt:lpstr>TotalWasteRecycledReusedAndDirectedToDisposalMass</vt:lpstr>
      <vt:lpstr>TotalWasteRecycledReusedAndDirectedToDisposalMass_unit</vt:lpstr>
      <vt:lpstr>TotalWasteRecycledReusedAndDirectedToDisposalVolume</vt:lpstr>
      <vt:lpstr>TotalWasteRecycledReusedAndDirectedToDisposalVolume_unit</vt:lpstr>
      <vt:lpstr>TotalWaterConsumption</vt:lpstr>
      <vt:lpstr>Turnover</vt:lpstr>
      <vt:lpstr>TypeOfContentCoveredByTheCodeOfConductOrHumanRightsPolicyForItsOwnWorkforce</vt:lpstr>
      <vt:lpstr>TypeOfHumanRightRelatedToTheConfirmedIncident</vt:lpstr>
      <vt:lpstr>TypeOfNumberOfEmployees</vt:lpstr>
      <vt:lpstr>TypeOfPollutantAxis</vt:lpstr>
      <vt:lpstr>TypeOfWasteAxis</vt:lpstr>
      <vt:lpstr>UndertakingAppliesCircularEconomyPrinciples</vt:lpstr>
      <vt:lpstr>UndertakingHasACodeOfConductOrHumanRightsPolicyForItsOwnWorkforce</vt:lpstr>
      <vt:lpstr>UndertakingHasAComplaintHandlingMechanismForItsOwnWorkforce</vt:lpstr>
      <vt:lpstr>UndertakingHasConfirmedHumanRightsIncidentsInItsOwnWorkforce</vt:lpstr>
      <vt:lpstr>UndertakingHasSetATargetWhichIsRelatedToAPolicy</vt:lpstr>
      <vt:lpstr>UndertakingIsAwareOfAnyConfirmedIncidentsInvolvingWorkersInTheValueChainAffectedCommunitiesConsumersAndEndUsers</vt:lpstr>
      <vt:lpstr>UndertakingsAreExcludedFromAnyEuReferenceBenchmarksThatAreAlignedWithTheParisAgreement</vt:lpstr>
      <vt:lpstr>UndertakingsLegalForm</vt:lpstr>
      <vt:lpstr>URLOrLinkToThePubliclyAvailableDisclosure</vt:lpstr>
      <vt:lpstr>VolumeOfMaterialUsed</vt:lpstr>
      <vt:lpstr>VolumeOfMaterialUsed_unit</vt:lpstr>
      <vt:lpstr>WasteDirectedToDisposalMass</vt:lpstr>
      <vt:lpstr>WasteDirectedToDisposalMass_unit</vt:lpstr>
      <vt:lpstr>WasteDirectedToDisposalVolume</vt:lpstr>
      <vt:lpstr>WasteDirectedToDisposalVolume_unit</vt:lpstr>
      <vt:lpstr>WasteDivertedToRecycleOrReuseMass</vt:lpstr>
      <vt:lpstr>WasteDivertedToRecycleOrReuseMass_unit</vt:lpstr>
      <vt:lpstr>WasteDivertedToRecycleOrReuseVolume</vt:lpstr>
      <vt:lpstr>WasteDivertedToRecycleOrReuseVolume_unit</vt:lpstr>
      <vt:lpstr>WasteGeneratedTable</vt:lpstr>
      <vt:lpstr>WaterDischargeFromUndertakingProductionProcesses</vt:lpstr>
      <vt:lpstr>WeightOfMaterialUsed</vt:lpstr>
      <vt:lpstr>WeightOfMaterialUsed_unit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Boessen</dc:creator>
  <cp:keywords/>
  <dc:description/>
  <cp:lastModifiedBy>Antoine BRANDT</cp:lastModifiedBy>
  <cp:revision/>
  <dcterms:created xsi:type="dcterms:W3CDTF">2025-01-13T10:12:12Z</dcterms:created>
  <dcterms:modified xsi:type="dcterms:W3CDTF">2026-07-17T12:33:23Z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0x010100C6CFFA21694C9D42A11653609814C878</vt:lpwstr>
  </property>
  <property fmtid="{D5CDD505-2E9C-101B-9397-08002B2CF9AE}" pid="3" name="efclTopics">
    <vt:lpwstr/>
  </property>
  <property fmtid="{D5CDD505-2E9C-101B-9397-08002B2CF9AE}" pid="4" name="efclDocumentType">
    <vt:lpwstr/>
  </property>
  <property fmtid="{D5CDD505-2E9C-101B-9397-08002B2CF9AE}" pid="5" name="efclStandards">
    <vt:lpwstr/>
  </property>
  <property fmtid="{D5CDD505-2E9C-101B-9397-08002B2CF9AE}" pid="6" name="efclProjectStage">
    <vt:lpwstr/>
  </property>
  <property fmtid="{D5CDD505-2E9C-101B-9397-08002B2CF9AE}" pid="7" name="Order">
    <vt:r8>10700</vt:r8>
  </property>
  <property fmtid="{D5CDD505-2E9C-101B-9397-08002B2CF9AE}" pid="8" name="xd_Signature">
    <vt:bool>false</vt:bool>
  </property>
  <property fmtid="{D5CDD505-2E9C-101B-9397-08002B2CF9AE}" pid="9" name="xd_ProgID">
    <vt:lpwstr/>
  </property>
  <property fmtid="{D5CDD505-2E9C-101B-9397-08002B2CF9AE}" pid="10" name="_ExtendedDescription">
    <vt:lpwstr/>
  </property>
  <property fmtid="{D5CDD505-2E9C-101B-9397-08002B2CF9AE}" pid="11" name="TriggerFlowInfo">
    <vt:lpwstr/>
  </property>
  <property fmtid="{D5CDD505-2E9C-101B-9397-08002B2CF9AE}" pid="12" name="TemplateUrl">
    <vt:lpwstr/>
  </property>
  <property fmtid="{D5CDD505-2E9C-101B-9397-08002B2CF9AE}" pid="13" name="ComplianceAssetId">
    <vt:lpwstr/>
  </property>
  <property fmtid="{D5CDD505-2E9C-101B-9397-08002B2CF9AE}" pid="14" name="MediaServiceImageTags">
    <vt:lpwstr/>
  </property>
</Properties>
</file>